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Javne nabavke\2023\Most FIAT\"/>
    </mc:Choice>
  </mc:AlternateContent>
  <xr:revisionPtr revIDLastSave="0" documentId="13_ncr:1_{16539D03-F923-4AC4-B74F-4A730BDF42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rumski most" sheetId="8" r:id="rId1"/>
    <sheet name="Pešački most " sheetId="11" r:id="rId2"/>
    <sheet name="Uklapanje puta" sheetId="12" r:id="rId3"/>
    <sheet name="rekapitulacija" sheetId="6" r:id="rId4"/>
  </sheets>
  <functionGroups builtInGroupCount="19"/>
  <definedNames>
    <definedName name="_Toc367194746" localSheetId="0">'Drumski most'!$C$157</definedName>
    <definedName name="_Toc367194746" localSheetId="1">'Pešački most '!#REF!</definedName>
    <definedName name="Excel_BuiltIn_Print_Area_1_1" localSheetId="1">#REF!</definedName>
    <definedName name="Excel_BuiltIn_Print_Area_1_1" localSheetId="2">'Uklapanje puta'!$A$2:$E$16</definedName>
    <definedName name="Excel_BuiltIn_Print_Area_1_1">#REF!</definedName>
    <definedName name="_xlnm.Print_Area" localSheetId="0">'Drumski most'!$A$1:$G$393</definedName>
    <definedName name="_xlnm.Print_Area" localSheetId="1">'Pešački most '!$A$1:$G$193</definedName>
    <definedName name="_xlnm.Print_Area" localSheetId="2">'Uklapanje puta'!$A$2:$G$20</definedName>
    <definedName name="_xlnm.Print_Titles" localSheetId="0">'Drumski most'!$5:$5</definedName>
    <definedName name="_xlnm.Print_Titles" localSheetId="1">'Pešački most '!$4:$4</definedName>
  </definedNames>
  <calcPr calcId="181029"/>
</workbook>
</file>

<file path=xl/calcChain.xml><?xml version="1.0" encoding="utf-8"?>
<calcChain xmlns="http://schemas.openxmlformats.org/spreadsheetml/2006/main">
  <c r="E256" i="8" l="1"/>
  <c r="E141" i="8" l="1"/>
  <c r="E111" i="8"/>
  <c r="E28" i="11"/>
  <c r="C374" i="8"/>
  <c r="C27" i="11"/>
  <c r="C280" i="8"/>
  <c r="C110" i="8"/>
  <c r="C140" i="8"/>
  <c r="C174" i="11"/>
  <c r="E169" i="11" l="1"/>
  <c r="E167" i="11"/>
  <c r="E162" i="11"/>
  <c r="E160" i="11"/>
  <c r="E163" i="11" s="1"/>
  <c r="E153" i="11"/>
  <c r="E155" i="11"/>
  <c r="E149" i="11"/>
  <c r="E144" i="11"/>
  <c r="E75" i="11"/>
  <c r="E71" i="11"/>
  <c r="E60" i="11"/>
  <c r="E58" i="11"/>
  <c r="E53" i="11"/>
  <c r="E51" i="11"/>
  <c r="E54" i="11" s="1"/>
  <c r="E42" i="11"/>
  <c r="E47" i="11"/>
  <c r="E36" i="11"/>
  <c r="E34" i="11"/>
  <c r="E32" i="11"/>
  <c r="E37" i="11" s="1"/>
  <c r="C74" i="11"/>
  <c r="C34" i="11"/>
  <c r="C51" i="11"/>
  <c r="C41" i="11"/>
  <c r="C155" i="11"/>
  <c r="C162" i="11"/>
  <c r="C60" i="11"/>
  <c r="C148" i="11"/>
  <c r="C70" i="11"/>
  <c r="C153" i="11"/>
  <c r="C143" i="11"/>
  <c r="C169" i="11"/>
  <c r="C160" i="11"/>
  <c r="C46" i="11"/>
  <c r="C58" i="11"/>
  <c r="C36" i="11"/>
  <c r="C167" i="11"/>
  <c r="C53" i="11"/>
  <c r="C32" i="11"/>
  <c r="E156" i="11" l="1"/>
  <c r="E170" i="11"/>
  <c r="E61" i="11"/>
  <c r="E134" i="11" l="1"/>
  <c r="E362" i="8" l="1"/>
  <c r="E357" i="8"/>
  <c r="E355" i="8"/>
  <c r="E353" i="8"/>
  <c r="E351" i="8"/>
  <c r="E346" i="8"/>
  <c r="E344" i="8"/>
  <c r="E347" i="8" s="1"/>
  <c r="E340" i="8"/>
  <c r="E335" i="8"/>
  <c r="E333" i="8"/>
  <c r="E331" i="8"/>
  <c r="E329" i="8"/>
  <c r="E327" i="8"/>
  <c r="E325" i="8"/>
  <c r="E323" i="8"/>
  <c r="E336" i="8" s="1"/>
  <c r="E307" i="8"/>
  <c r="E305" i="8"/>
  <c r="E303" i="8"/>
  <c r="E298" i="8"/>
  <c r="E296" i="8"/>
  <c r="E294" i="8"/>
  <c r="E299" i="8" s="1"/>
  <c r="E289" i="8"/>
  <c r="E287" i="8"/>
  <c r="E285" i="8"/>
  <c r="E281" i="8"/>
  <c r="E276" i="8"/>
  <c r="E274" i="8"/>
  <c r="E270" i="8"/>
  <c r="E171" i="8"/>
  <c r="E167" i="8"/>
  <c r="E136" i="8"/>
  <c r="E134" i="8"/>
  <c r="E132" i="8"/>
  <c r="E130" i="8"/>
  <c r="E128" i="8"/>
  <c r="E126" i="8"/>
  <c r="E124" i="8"/>
  <c r="E122" i="8"/>
  <c r="E117" i="8"/>
  <c r="E115" i="8"/>
  <c r="E106" i="8"/>
  <c r="E104" i="8"/>
  <c r="E102" i="8"/>
  <c r="E100" i="8"/>
  <c r="E98" i="8"/>
  <c r="E96" i="8"/>
  <c r="E94" i="8"/>
  <c r="E75" i="8"/>
  <c r="E73" i="8"/>
  <c r="E71" i="8"/>
  <c r="E69" i="8"/>
  <c r="E64" i="8"/>
  <c r="E62" i="8"/>
  <c r="E60" i="8"/>
  <c r="E65" i="8" s="1"/>
  <c r="E56" i="8"/>
  <c r="C339" i="8"/>
  <c r="E76" i="8" l="1"/>
  <c r="E308" i="8"/>
  <c r="E137" i="8"/>
  <c r="E118" i="8"/>
  <c r="E318" i="8"/>
  <c r="E316" i="8"/>
  <c r="E314" i="8"/>
  <c r="E312" i="8"/>
  <c r="E277" i="8"/>
  <c r="C296" i="8"/>
  <c r="C329" i="8"/>
  <c r="C128" i="8"/>
  <c r="C318" i="8"/>
  <c r="C130" i="8"/>
  <c r="C69" i="8"/>
  <c r="C346" i="8"/>
  <c r="C316" i="8"/>
  <c r="C102" i="8"/>
  <c r="C333" i="8"/>
  <c r="C126" i="8"/>
  <c r="C136" i="8"/>
  <c r="C307" i="8"/>
  <c r="C73" i="8"/>
  <c r="C312" i="8"/>
  <c r="C361" i="8"/>
  <c r="C298" i="8"/>
  <c r="C104" i="8"/>
  <c r="C353" i="8"/>
  <c r="C276" i="8"/>
  <c r="C287" i="8"/>
  <c r="C134" i="8"/>
  <c r="C331" i="8"/>
  <c r="C325" i="8"/>
  <c r="C124" i="8"/>
  <c r="C274" i="8"/>
  <c r="C289" i="8"/>
  <c r="C335" i="8"/>
  <c r="C269" i="8"/>
  <c r="C305" i="8"/>
  <c r="C314" i="8"/>
  <c r="C100" i="8"/>
  <c r="C351" i="8"/>
  <c r="C294" i="8"/>
  <c r="C115" i="8"/>
  <c r="C71" i="8"/>
  <c r="C303" i="8"/>
  <c r="C98" i="8"/>
  <c r="C75" i="8"/>
  <c r="C94" i="8"/>
  <c r="C327" i="8"/>
  <c r="C357" i="8"/>
  <c r="C355" i="8"/>
  <c r="C117" i="8"/>
  <c r="C96" i="8"/>
  <c r="C122" i="8"/>
  <c r="C323" i="8"/>
  <c r="C132" i="8"/>
  <c r="C344" i="8"/>
  <c r="C285" i="8"/>
  <c r="C106" i="8"/>
  <c r="E319" i="8" l="1"/>
  <c r="E290" i="8"/>
  <c r="C56" i="8"/>
  <c r="C60" i="8"/>
  <c r="C62" i="8"/>
  <c r="C64" i="8"/>
  <c r="C166" i="8"/>
  <c r="C170" i="8"/>
  <c r="E121" i="11" l="1"/>
  <c r="E125" i="11"/>
  <c r="E87" i="11"/>
  <c r="C365" i="8"/>
  <c r="E365" i="8" l="1"/>
  <c r="C367" i="8"/>
  <c r="E367" i="8" l="1"/>
  <c r="E369" i="8"/>
  <c r="E131" i="11"/>
  <c r="E115" i="11"/>
  <c r="E91" i="11"/>
  <c r="C369" i="8"/>
  <c r="C87" i="11"/>
  <c r="E24" i="11" l="1"/>
  <c r="E21" i="11"/>
  <c r="E182" i="8"/>
  <c r="E183" i="8" s="1"/>
  <c r="E187" i="8"/>
  <c r="E49" i="8"/>
  <c r="E51" i="8"/>
  <c r="C187" i="8"/>
  <c r="C86" i="8"/>
  <c r="C92" i="8"/>
  <c r="C23" i="11"/>
  <c r="C88" i="8"/>
  <c r="C124" i="11"/>
  <c r="C20" i="11"/>
  <c r="C90" i="8"/>
  <c r="C91" i="11"/>
  <c r="C121" i="11"/>
  <c r="E191" i="8" l="1"/>
  <c r="E193" i="8"/>
  <c r="E92" i="8"/>
  <c r="E239" i="8"/>
  <c r="E231" i="8"/>
  <c r="E227" i="8"/>
  <c r="E220" i="8"/>
  <c r="E90" i="8"/>
  <c r="E88" i="8"/>
  <c r="E86" i="8"/>
  <c r="C193" i="8"/>
  <c r="C239" i="8"/>
  <c r="C191" i="8"/>
  <c r="C230" i="8"/>
  <c r="E107" i="8" l="1"/>
  <c r="E237" i="8"/>
  <c r="E240" i="8" s="1"/>
  <c r="E224" i="8"/>
  <c r="E217" i="8"/>
  <c r="C216" i="8"/>
  <c r="C223" i="8"/>
  <c r="C237" i="8"/>
  <c r="C226" i="8"/>
  <c r="E160" i="8" l="1"/>
  <c r="E156" i="8"/>
  <c r="C159" i="8"/>
  <c r="E246" i="8" l="1"/>
  <c r="E34" i="8"/>
  <c r="E266" i="8"/>
  <c r="E263" i="8"/>
  <c r="C245" i="8"/>
  <c r="C51" i="8"/>
  <c r="C155" i="8"/>
  <c r="C265" i="8"/>
  <c r="C33" i="8"/>
  <c r="E179" i="8" l="1"/>
  <c r="C178" i="8"/>
  <c r="E243" i="8" l="1"/>
  <c r="C220" i="8"/>
  <c r="C242" i="8"/>
  <c r="C262" i="8"/>
  <c r="E38" i="8" l="1"/>
  <c r="E47" i="8"/>
  <c r="E41" i="8"/>
  <c r="E144" i="8"/>
  <c r="C37" i="8"/>
  <c r="C47" i="8"/>
  <c r="C143" i="8"/>
  <c r="C49" i="8"/>
  <c r="C40" i="8"/>
  <c r="E52" i="8" l="1"/>
  <c r="E31" i="8"/>
  <c r="E28" i="8"/>
  <c r="E20" i="8"/>
  <c r="C28" i="8"/>
  <c r="C20" i="8"/>
  <c r="C30" i="8"/>
  <c r="E23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Ivan Lukić</author>
  </authors>
  <commentList>
    <comment ref="B30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Ivan Lukić:</t>
        </r>
        <r>
          <rPr>
            <sz val="9"/>
            <color indexed="81"/>
            <rFont val="Tahoma"/>
            <family val="2"/>
          </rPr>
          <t xml:space="preserve">
u našem predmeru smo imali dva puta ovu poziciju. Jednom je bila manje opisana, tj, bez podele na elemente
</t>
        </r>
      </text>
    </comment>
  </commentList>
</comments>
</file>

<file path=xl/sharedStrings.xml><?xml version="1.0" encoding="utf-8"?>
<sst xmlns="http://schemas.openxmlformats.org/spreadsheetml/2006/main" count="724" uniqueCount="375">
  <si>
    <t>m3</t>
  </si>
  <si>
    <t>m</t>
  </si>
  <si>
    <t>m2</t>
  </si>
  <si>
    <t>m1</t>
  </si>
  <si>
    <t>kom</t>
  </si>
  <si>
    <t>kg</t>
  </si>
  <si>
    <t>R. 
br.</t>
  </si>
  <si>
    <t>Broj poz.</t>
  </si>
  <si>
    <t>OPIS</t>
  </si>
  <si>
    <t>Jed.
mera</t>
  </si>
  <si>
    <t>Količina</t>
  </si>
  <si>
    <t>Jedinična
 cena</t>
  </si>
  <si>
    <t>51_MO_100</t>
  </si>
  <si>
    <t xml:space="preserve"> PRIPREMNI   RADOVI </t>
  </si>
  <si>
    <t xml:space="preserve">Geodetski radovi </t>
  </si>
  <si>
    <t>Obračunava se paušalno.</t>
  </si>
  <si>
    <t>pauš</t>
  </si>
  <si>
    <t>51_MO_110</t>
  </si>
  <si>
    <t xml:space="preserve">Čišćenje terena </t>
  </si>
  <si>
    <t xml:space="preserve">Uklanjanje  šuta, raznog otpada, šiblja i granja </t>
  </si>
  <si>
    <t>u zoni krajnjih stubova, na keglama  i ispod mosta celom dužinom.</t>
  </si>
  <si>
    <t>Rušenje i uklanjanje kolovoznih  konstrukcija</t>
  </si>
  <si>
    <t>113.1</t>
  </si>
  <si>
    <t>113.2</t>
  </si>
  <si>
    <t>Uklanjanje  asfalta i sloja nasipa na prilazima</t>
  </si>
  <si>
    <t>Ukupno</t>
  </si>
  <si>
    <t>Obračun po m2 asfalta</t>
  </si>
  <si>
    <t>51_MO_120</t>
  </si>
  <si>
    <t>Uklanjanje hidroizolacije</t>
  </si>
  <si>
    <t xml:space="preserve">u punoj širini mosta i dužini mosta između dilatacija, prema opisu u tehničkim uslovima. </t>
  </si>
  <si>
    <t>Obračun po m2 uklonjene hidroizolacije</t>
  </si>
  <si>
    <t>Rušenje i uklanjanje ivičnjaka</t>
  </si>
  <si>
    <t>Obračun po m1 uklonjenog ivičnjaka</t>
  </si>
  <si>
    <t>Obračun po m3 obijenog betona.</t>
  </si>
  <si>
    <t xml:space="preserve"> Uklanjanje / demontaža postojeće dilatacije
</t>
  </si>
  <si>
    <t>Obračun je dat po m1 uklonjene dilatacije.</t>
  </si>
  <si>
    <t>Uklanjanje postojeće pešačke  ograde sa mosta</t>
  </si>
  <si>
    <t>Obračun po m uklonjene ograde</t>
  </si>
  <si>
    <t>Uklanjanje objekta  ili pojedinih delova objekta</t>
  </si>
  <si>
    <t xml:space="preserve">Obračun po m3 uklonjenog betona </t>
  </si>
  <si>
    <t>kom.</t>
  </si>
  <si>
    <t>UKUPNO PRIPREMNI RADOVI</t>
  </si>
  <si>
    <t>51_MO_300</t>
  </si>
  <si>
    <t xml:space="preserve">  SKELE I OPLATE</t>
  </si>
  <si>
    <t>51_MO_500</t>
  </si>
  <si>
    <t xml:space="preserve">  R A D O V I    O D   B E T O N A</t>
  </si>
  <si>
    <t>51_MO_510</t>
  </si>
  <si>
    <t xml:space="preserve"> RADOVI OD NEARMIRANOG BETONA</t>
  </si>
  <si>
    <t xml:space="preserve">Izrada prelazne pešačke rampe na bankini </t>
  </si>
  <si>
    <t>Obračun po m3  ugrađenog betona.</t>
  </si>
  <si>
    <t>51_MO_550</t>
  </si>
  <si>
    <t xml:space="preserve"> RADOVI OD ARMIRANOG BETONA</t>
  </si>
  <si>
    <t>Betoniranje pešačkih staza i ivičnih venaca.</t>
  </si>
  <si>
    <t>UKUPNO BETONSKI RADOVI:</t>
  </si>
  <si>
    <t>51_MO_600</t>
  </si>
  <si>
    <t>R A D O V I   O D   M E T A L A</t>
  </si>
  <si>
    <t>Nabavka, obrada, i ugradnja armature B500B za elemente konstrukcije mosta.</t>
  </si>
  <si>
    <t>Obračun po kg ugrađene armature</t>
  </si>
  <si>
    <t>Zamena ležišta</t>
  </si>
  <si>
    <t xml:space="preserve">Nabavka i ugradnja slivnika </t>
  </si>
  <si>
    <t>480*300, nosivosti D400 sa izradom podloge od cementnog maltera za nivelaciju slivnika i ispunom od polimer betona u zoni slivnika.</t>
  </si>
  <si>
    <t>Obračun po kom. ugrađenog slivnika</t>
  </si>
  <si>
    <t>Čelične ograde na mostovima prema projektu</t>
  </si>
  <si>
    <t>670.3.</t>
  </si>
  <si>
    <t xml:space="preserve">ostale cevne ili od profila </t>
  </si>
  <si>
    <t>Čelične pločice za zavarivanje ograde</t>
  </si>
  <si>
    <t xml:space="preserve">Obračun po komadu pločice. </t>
  </si>
  <si>
    <t>UKUPNO  RADOVI OD METALA:</t>
  </si>
  <si>
    <t>51_MO_700</t>
  </si>
  <si>
    <t xml:space="preserve">  Z A V R Š N I   I   O S T A L  I    R A D O V I</t>
  </si>
  <si>
    <t>Obračun po m2 izvedene izolacije.</t>
  </si>
  <si>
    <t>Obračun po m2 izvedenog premaza.</t>
  </si>
  <si>
    <t>Obnova AKZ zaštite mosta</t>
  </si>
  <si>
    <t>Izrada i zatvaranje spojnica</t>
  </si>
  <si>
    <t>770.1</t>
  </si>
  <si>
    <t>Dilataciona razdelnica na pešačkoj stazi</t>
  </si>
  <si>
    <t>Ugradnja "Denso" trake na spoju asfalta i ivičnjaka</t>
  </si>
  <si>
    <t>Obračun po m' ugrađene trake.</t>
  </si>
  <si>
    <t xml:space="preserve">Nabavka i montaža  dilatacionih spojnica
</t>
  </si>
  <si>
    <t>UKUPNO ZAVRŠNI I OSTALI RADOVI:</t>
  </si>
  <si>
    <t>51_MO_800</t>
  </si>
  <si>
    <t xml:space="preserve"> P O S E B N I  R A D O V I</t>
  </si>
  <si>
    <t>Postavljanje ankera sa zalivanjem rupa eksmalom</t>
  </si>
  <si>
    <t>`</t>
  </si>
  <si>
    <t>Obračun po komadu gotovog ankera</t>
  </si>
  <si>
    <t xml:space="preserve">Radovi na popravci i na AKZ zaštiti pešačke ograde mosta </t>
  </si>
  <si>
    <t xml:space="preserve">Obračun po m1 ograde mosta </t>
  </si>
  <si>
    <t>UKUPNO POSEBNI RADOVI:</t>
  </si>
  <si>
    <t>UKUPNO SVI RADOVI:</t>
  </si>
  <si>
    <t>PREDRAČUN RADOVA UKLAPANJA MOSTA U POSTOJEĆE STANJE</t>
  </si>
  <si>
    <t>PRIPREMNI RADOVI</t>
  </si>
  <si>
    <t>Skidanje sloja asfalta glodalicom od 0-10cm (prosečno d=5cm) sa direktnim utovarom materijala u kamion i odvozom materijala na deponiju</t>
  </si>
  <si>
    <t>Izrada spojnice od specijalne dilatacione trake</t>
  </si>
  <si>
    <t xml:space="preserve"> </t>
  </si>
  <si>
    <t>UKUPNO TRASA:</t>
  </si>
  <si>
    <t>51_MO_200</t>
  </si>
  <si>
    <t>VRSTA RADOVA</t>
  </si>
  <si>
    <t>Iznos (RSD)</t>
  </si>
  <si>
    <t>ZEMLjANI RADOVI</t>
  </si>
  <si>
    <t>RADOVI OD BETONA</t>
  </si>
  <si>
    <t>RADOVI OD METALA</t>
  </si>
  <si>
    <t>ZAVRŠNI I OSTALI RADOVI</t>
  </si>
  <si>
    <t>POSEBNI RADOVI</t>
  </si>
  <si>
    <t>UKUPNO:</t>
  </si>
  <si>
    <t>REKAPITULACIJA PREDMERA I PREDRAČUNA RADOVA ZA DRUMSKI MOST</t>
  </si>
  <si>
    <t xml:space="preserve">KOLOVOZNA KONSTRUKCIJA </t>
  </si>
  <si>
    <t xml:space="preserve"> Hidroizolacija gornje površine kolovozne ploče</t>
  </si>
  <si>
    <t>Obračun po m' ugrađene spojnice.</t>
  </si>
  <si>
    <t>Izrada kvadera ispod ležišta od betona MB40</t>
  </si>
  <si>
    <t>670.4</t>
  </si>
  <si>
    <t>Izrada i postavljanje zaštitne mreže i čeličnog parapeta  iznad pruge.</t>
  </si>
  <si>
    <t>Izravnavajući sloj betona ispod prelazne ploče</t>
  </si>
  <si>
    <t xml:space="preserve">Tampon od nearmiranog betona C12/15(MB 15) d=10 cm. </t>
  </si>
  <si>
    <t>Obračun po m2  ugrađenog betona.</t>
  </si>
  <si>
    <t>131.1</t>
  </si>
  <si>
    <t>131.2</t>
  </si>
  <si>
    <t xml:space="preserve">Rušеnjе cеlоg оbјеktа </t>
  </si>
  <si>
    <t xml:space="preserve">rušenje pomoćnog objekta ispod mosta </t>
  </si>
  <si>
    <t xml:space="preserve">Rušenje zadnjeg parapeta </t>
  </si>
  <si>
    <t xml:space="preserve">Rušenje ab maski pored pendela </t>
  </si>
  <si>
    <t>Izrada ab maski pored kvadera</t>
  </si>
  <si>
    <t>Obračun po m' ugrađene dilatacije</t>
  </si>
  <si>
    <t>ZEMLJANI RADOVI</t>
  </si>
  <si>
    <t>Obračun po m3 iskopa.</t>
  </si>
  <si>
    <t>Iskop zemlje u zaleđini obalnih stubova</t>
  </si>
  <si>
    <t>Iskop materijala II i III kategorije za izgradnju novih prelaznih ploča i šljunčanog klina</t>
  </si>
  <si>
    <t>Izrаdа šlјunčаnоg klinа</t>
  </si>
  <si>
    <t>Nabavka, transport i ugradnja šljunka prirodne mešavine sa zbijanjem do potrebne zbijenosti</t>
  </si>
  <si>
    <t>Obračun po m3 ugrađenog šljunka</t>
  </si>
  <si>
    <t>UKUPNO ZEMLJANI RADOVI</t>
  </si>
  <si>
    <t>obračunato u uklapanju puta</t>
  </si>
  <si>
    <t>Obračun po m' ugrađenih ivičnjaka.</t>
  </si>
  <si>
    <t>Postavljanje betonskih ivičnjaka 18/24</t>
  </si>
  <si>
    <t>obostranih pešačkih staza u širini 1.55m i ivičnog venca po celoj dužini mosta.</t>
  </si>
  <si>
    <t>Obračun po m2 ugrađenog asfalta.</t>
  </si>
  <si>
    <t>770.2</t>
  </si>
  <si>
    <t>Spојnicа uz ivičnjаkе sа gоrnjе strаnе</t>
  </si>
  <si>
    <t>Ugrađivanje  PVC cevi  u  pešačke  (revizione) staze  prema  projektu</t>
  </si>
  <si>
    <t>Obračun po m1 ugrađenih cevi.</t>
  </si>
  <si>
    <t>1Ø160+4*Ø110+4*Ø160</t>
  </si>
  <si>
    <t>Izrada kolovoznog zastora od asfalt betona debljine 9cm</t>
  </si>
  <si>
    <t>Obračun po m1 ugrađene gume</t>
  </si>
  <si>
    <t xml:space="preserve">Izmeštanje  instalacija  </t>
  </si>
  <si>
    <t>dimenzija 12x16cm, d=20mm, sa zavarenim ankerima 4Φ12. Stubići ograde su na  2.0m.</t>
  </si>
  <si>
    <t>dato u posebnom  projektu -Sveska5</t>
  </si>
  <si>
    <t xml:space="preserve">*Zaštita TK instalacija </t>
  </si>
  <si>
    <t>Peskarenje betonskih površina</t>
  </si>
  <si>
    <t>OSTALI PRIPREMNI RADOVI</t>
  </si>
  <si>
    <t>Obračun po m2 izvedenih radova.</t>
  </si>
  <si>
    <t>*gornja površina kolovozne ploče</t>
  </si>
  <si>
    <t>Rušenje klatna-pendela</t>
  </si>
  <si>
    <t>Premazivanje  betona SN vezom  (stari- novi beton)</t>
  </si>
  <si>
    <t xml:space="preserve">*ugradnja ispune od stirobetona  težine 300kg/m3; 0,18m3/m1. </t>
  </si>
  <si>
    <t>*dobetoniranje krila i konzola pešačkih staza  d=10cm zbog uklapanja na mostu</t>
  </si>
  <si>
    <t xml:space="preserve">Dobetoniranje/Betoniranje na licu mesta delova krila, obalnih stubova i prelaznih ploča </t>
  </si>
  <si>
    <t>zamena pendela  neankerisanim elastomernim ležištima tip1 200*300*63</t>
  </si>
  <si>
    <t>Ugradnja asfaltnih dilatacija AD-50</t>
  </si>
  <si>
    <t>Ugradnja  MA -60</t>
  </si>
  <si>
    <r>
      <t>Rаspоnskа  kоnstrukciја  оbјеktа  оd  аrmirаnоg   bеtоnа</t>
    </r>
    <r>
      <rPr>
        <sz val="11"/>
        <color indexed="8"/>
        <rFont val="Arial"/>
        <family val="2"/>
      </rPr>
      <t xml:space="preserve"> </t>
    </r>
  </si>
  <si>
    <t>553.1</t>
  </si>
  <si>
    <t xml:space="preserve">Dodatna kоlоvоznа plоčа оd аrmirаnоg bеtоnа prеkо postojeće noseće konstrukcije </t>
  </si>
  <si>
    <t>Obračun po kom. ugrađenog  ležišta</t>
  </si>
  <si>
    <t>UKUPNO SKELE :</t>
  </si>
  <si>
    <t>SKELE I OPLATE</t>
  </si>
  <si>
    <t xml:space="preserve">Ugradnja ankera Ø14 za vezu novoprojektovanog betona sa postojećim elementima na mostu. Rupe za ankere su   Ø18. </t>
  </si>
  <si>
    <t>* kod FAS-a na ulazu</t>
  </si>
  <si>
    <t>**na prilazu mostu</t>
  </si>
  <si>
    <t>Čišćеnjе pоvršinа vаzduhоm pоd pritiskоm</t>
  </si>
  <si>
    <t>Obračun po m2 .</t>
  </si>
  <si>
    <t xml:space="preserve"> sve površine koje se premazuju SN vezom</t>
  </si>
  <si>
    <t>Obračun po m2 izvršenog rada.</t>
  </si>
  <si>
    <t>Čišćеnје  i  pоprаvkа  kеgli</t>
  </si>
  <si>
    <t>Procenjena površina kegli koju je potrebno presložiti i obložiti ~250m2</t>
  </si>
  <si>
    <t>UKUPNO KOLOVOZNA KONSTRUKCIJA:</t>
  </si>
  <si>
    <t>11_GR_300. KOLOVOZNA KONSTRUKCIJA</t>
  </si>
  <si>
    <t>UKUPNO PRIPREMNI RADOVI:</t>
  </si>
  <si>
    <t>11_GR_100. PRIPREMNI RADOVI</t>
  </si>
  <si>
    <t>11 GR 100</t>
  </si>
  <si>
    <t>11 GR 300</t>
  </si>
  <si>
    <t xml:space="preserve"> na oba kraja mosta u dužini 4.3m </t>
  </si>
  <si>
    <t xml:space="preserve">*ugradnja armiranog betona staze:                                           C35/45  (MB 40), V - 6,   M - 150                               </t>
  </si>
  <si>
    <t xml:space="preserve">Izrada armiranobetonskih parapetnih venaca.
Beton MB 45 (C35/45);   M-150;   M+S=1;   </t>
  </si>
  <si>
    <t>Slivnik Tip S-13 za pešački i biciklistički saobraćaj, ima malu debljinu i težinu</t>
  </si>
  <si>
    <t>Obračunava se po m1 ugrađene dilatacije</t>
  </si>
  <si>
    <t>Procenjena površina kegli koju je potrebno presložiti i obložiti ~50m2</t>
  </si>
  <si>
    <t>Izrada hidroizolacije kolovozne ploče metil - metakrilatom
(MMA ).Premaz prajmerom.</t>
  </si>
  <si>
    <t xml:space="preserve">Obračun po m2 gotove izolacije. </t>
  </si>
  <si>
    <t>REKAPITULACIJA PREDMERA I PREDRAČUNA RADOVA ZA PEŠAČKI MOST</t>
  </si>
  <si>
    <t>Nabavka i ugradnja sredstava za sprezanje -  moždanici</t>
  </si>
  <si>
    <t>Obračun po kom ugrađenih moždanika</t>
  </si>
  <si>
    <t>usvojeni moždanici d/h=19/80mm</t>
  </si>
  <si>
    <t>Radovi na ojačanju  čelične konstrukcije</t>
  </si>
  <si>
    <t>Obračun po kg ugrađenog čelika</t>
  </si>
  <si>
    <t>Montaža i demontaža viseće skele za sanaciju rasponske konstrukcije mosta</t>
  </si>
  <si>
    <t>Montaža i demontaža viseće skele  za radove u svemu po važećim propisima i merama HTZ-a, prema projektu skele koji obezbeđuje izvođač radova.  Skela mora biti statički stabilna, fiksirana i propisno uzemljena. Koristi se za se vreme trajanja radova na sanaciji rasponske konstrukcije. Za radove iznad železničke pruge obezbediti da deo viseće skele bude mobilan.</t>
  </si>
  <si>
    <t xml:space="preserve">Montaža i demontaža metalne fasadne skele  za radove u svemu po važećim propisima i merama HTZ-a.  Skela mora biti statički stabilna, fiksirana i propisno uzemljena. Koristi se za se vreme trajanja radova na sanaciji stubova mosta. </t>
  </si>
  <si>
    <r>
      <t>Obračun po m</t>
    </r>
    <r>
      <rPr>
        <vertAlign val="super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površine pokrivene skelom.</t>
    </r>
  </si>
  <si>
    <r>
      <t>Obračun po m</t>
    </r>
    <r>
      <rPr>
        <vertAlign val="super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vertikalne projekcije površine pokrivene skelom.</t>
    </r>
  </si>
  <si>
    <t>131.3</t>
  </si>
  <si>
    <t>Linijsko uklanjanje betona, prosečne dubine 2cm</t>
  </si>
  <si>
    <t>*obalni stubovi</t>
  </si>
  <si>
    <t>*rečni stubovi</t>
  </si>
  <si>
    <t>*bočne strane glavnih nosača A, B i C</t>
  </si>
  <si>
    <r>
      <t>m</t>
    </r>
    <r>
      <rPr>
        <vertAlign val="superscript"/>
        <sz val="10"/>
        <color theme="1"/>
        <rFont val="Arial"/>
        <family val="2"/>
        <charset val="238"/>
      </rPr>
      <t>1</t>
    </r>
  </si>
  <si>
    <t>*konzolna ploča</t>
  </si>
  <si>
    <t xml:space="preserve">Obračun po m1 uklonjenog betona </t>
  </si>
  <si>
    <t>131.4</t>
  </si>
  <si>
    <t>Površinsko uklanjanje betona, prosečne dubine 3,5cm</t>
  </si>
  <si>
    <t xml:space="preserve">Uklanjanje betona oko korodiralih šipki armature, uključujući i zone sa ispucalim betonom, ručno (štemanjem) ili mašinskim putem (pikhamerima do 6kg). Dubina uklonjenog sloja betona zavisi od očuvanosti athezije između armature i betona i od stepena korozije armature. Ukoliko je očuvana athezija i šipka armature delimično zahvaćena korozijom ne „otkriva“ se komplenta šipka, već samo deo gde je vidljiva korozija. Šut prikupiti, utovariti na kamion i odneti na gradsku deponiju. </t>
  </si>
  <si>
    <t>Uklanjanje betona ručno (štemanjem) ili mašinskim putem (pikhamerima do 6kg).  Štemovanjem treba formirati zonu pravilnog geometrijskog oblika bez isklinjavanja. Šut prikupiti, utovariti na kamion i odneti na gradsku deponiju.</t>
  </si>
  <si>
    <t>*poprečni nosači</t>
  </si>
  <si>
    <t>*kolovozna ploča sa donje strane</t>
  </si>
  <si>
    <t>*ploča za prijem napona pritisaka</t>
  </si>
  <si>
    <t xml:space="preserve">Obračun po m2 uklonjenog betona </t>
  </si>
  <si>
    <t>*glavni podužni nosači u osama A, B i C</t>
  </si>
  <si>
    <t>*krila i konzole pešačkih staza</t>
  </si>
  <si>
    <t>*parapet oporca</t>
  </si>
  <si>
    <t>Čišćenje armature peskarenjem</t>
  </si>
  <si>
    <t>Čišćenje armature glavnih nosača  i dva poprečna nosača u osama T2 i T5, mokrim ili suvim peskarenjem sa donje strane, uz dodatno lokalno čišćenje žičanim četkama, do „metalnog sjaja“.  U cenu uračunat materijal i rad.</t>
  </si>
  <si>
    <t>Priprema betonske površine i armature za nanošenje novog betonskog i malterskog sloja ili zaštitnog premaza suvim peskarenjem. Ovim radovima obuhvaćene su sve betonske površine sem donje strane glavnih podužnih nosača. U cenu uračunat sav materijal i rad.</t>
  </si>
  <si>
    <t>*poprečni nosači u osama T2 i T5</t>
  </si>
  <si>
    <t>Uklanjanje AB venaca, staze i gredica ograde</t>
  </si>
  <si>
    <t>Pranje betonskih površina vodom pod pritiskom</t>
  </si>
  <si>
    <t xml:space="preserve">Pranje odštemovanih zona betona i armature od prašine, vodom pod pristiskom (cca 200 bara). Mlaz vode se usmerava pod uglom od 45 stepeni u odnosu na površinu betona, sa razdaljine od 5cm. </t>
  </si>
  <si>
    <t>*donje strane glavnih nosača A, B i C</t>
  </si>
  <si>
    <t>*kvaderi</t>
  </si>
  <si>
    <t>*parapet</t>
  </si>
  <si>
    <t xml:space="preserve">*krila </t>
  </si>
  <si>
    <t>*na kolovoznoj ploči</t>
  </si>
  <si>
    <t>*dodatni rukohvat -prema detalju u projektu</t>
  </si>
  <si>
    <t>*popravka postojeće ograde</t>
  </si>
  <si>
    <t xml:space="preserve">Nabavka reparaturnog  maltera (RM1) i reprofilisanje – popunjavanje lokalnih dubljih oštećenja prosečne dubine 10cm,  na prethodno pripremljenu površinu betona. Reparaturni malter se nanosi ručno, utiskivanjem u sloju debljine do 3cm. Ako je dubina odštemovane zone veća od 3cm, reparaturni malter naneti u više slojeva. Uz ivice elemenata koristiti jednostaranu oplatu. U cenu uračunata nabavka, transport i ugradnja materijala. </t>
  </si>
  <si>
    <t>Reprofilacija lokalnih oštećenja obalnih stubova reparaturnim malterom RM1</t>
  </si>
  <si>
    <t>Obračun po m2 malterisane površine.</t>
  </si>
  <si>
    <t xml:space="preserve">Postavljanje rabic mreže </t>
  </si>
  <si>
    <r>
      <t>Nabavka i postavljanje rabic mreže (okca 25x25mm) sa pričvršivanjem za betonsku podlogu ankerima (1kom/m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).</t>
    </r>
  </si>
  <si>
    <t>Obračun po m2 pokrivene površine.</t>
  </si>
  <si>
    <t>Malterisanje površine obalnih stubova reparaturnim malterom RM2 debljine 3cm</t>
  </si>
  <si>
    <t>Reprofilacija lokalnih oštećenja reparaturnim malterom RM3</t>
  </si>
  <si>
    <t>Nabavka reparaturnog  maltera (RM3) i reprofilisanje – popunjavanje lokalnih dubljih oštećenja  na prethodno pripremljenu površinu betona. Reparaturni malter se nanosi ručno, utiskivanjemm u sloju debljine do 3cm. Ako je dubina odštemovane zone veća od 3cm, reparaturni malter naneti u više slojeva.  Uz ivice elemenata koristiti jednostaranu oplatu. U cenu uračunata nabavka, transport i ugradnja materijala.</t>
  </si>
  <si>
    <t>*Ploča za prijem napona pritisaka</t>
  </si>
  <si>
    <t>Impregnacja betonskih površina sredstvom za impregnaciju IS1</t>
  </si>
  <si>
    <t xml:space="preserve">Nanošenje zaštitnog premaza ZP1 </t>
  </si>
  <si>
    <t>Obračun po kg čelika.</t>
  </si>
  <si>
    <t xml:space="preserve">Zaštita armature od korozije premazom P1 </t>
  </si>
  <si>
    <t>*bočne strane glavnih nosača u osama A, B i C</t>
  </si>
  <si>
    <t>*donje strane glavnih nosača u osama A, B i C</t>
  </si>
  <si>
    <t xml:space="preserve">*donja strana poprečnih nosača u osama T2 i T5 i lokalne zone na ostalim poprečnim nosačima 
</t>
  </si>
  <si>
    <t>*konzolna ploča sa donje strane</t>
  </si>
  <si>
    <t>Betoniranje novog zaštitnog sloja i nedostajućih delova preseka betonom pod pritiskom</t>
  </si>
  <si>
    <t xml:space="preserve">Betoniranje novog zaštitnog sloja i nedostajućih delova preseka glavnih nosača u osama "A" i "C", samougrađujućim (SCC) dvofrakcijskim (Dmax=8mm) betonom MB40 (beton B1), pod pritiskom. Oplatne ravni moraju biti od panela (nije dozvoljena daščana oplata), dobro zaptivene i pričvršćene kako bi izdržale sva opterećenja koja se javljaju prilikom betoniranja. U cenu ulaze rad, materijal, oprema, oplata, noseća konstrukcija oplate i nega betona. </t>
  </si>
  <si>
    <t>Obračun po m3 ugrađenog betona.</t>
  </si>
  <si>
    <t>Betoniranje novog zaštitnog sloja i nedostajućih delova preseka nalivanjem</t>
  </si>
  <si>
    <t xml:space="preserve">Betoniranje novog zaštitnog sloja i nedostajućih delova preseka glavnih nosača i dva sekundarna nosača (nosači u osama T2 i T5) samougrađujućim (SCC) dvofrakcijski (Dmax=8mm) betonom MB40 (beton B1), nalivanjem. Oplatne ravni moraju biti od panela (nije dozoljena daščana oplata). U cenu ulaze rad, materijal, oprema, oplata, noseća konstrukcija oplate i nega betona. </t>
  </si>
  <si>
    <t>*glavni nosači</t>
  </si>
  <si>
    <t>Izvođenje novog zaštitnog sloja i nedostajućih delova preseka reparaturnim malterom RM3</t>
  </si>
  <si>
    <t xml:space="preserve">Izvođenje novog zaštitnog sloja i nedostajućih delova preseka reparaturnim malterom (RM3), mašinskim malterisanjem i  lokalna reprofilacija ručnim malterisanjem istim malterom. U cenu ulaze rad, materijal, oplata, noseća konstrukcija oplate i nega matera. </t>
  </si>
  <si>
    <t>*glavni nosači u osama A, B i C, debljina 3,5cm</t>
  </si>
  <si>
    <t>*poprečni nosači, debljina 2,5cm</t>
  </si>
  <si>
    <t>*kolovozna ploča, debljina 2,5cm</t>
  </si>
  <si>
    <t>*konzolna ploča, debljina 2,5 cm</t>
  </si>
  <si>
    <r>
      <t>Obračun po 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omalterisane površine</t>
    </r>
  </si>
  <si>
    <t>*RØ32</t>
  </si>
  <si>
    <t>*RØ19</t>
  </si>
  <si>
    <t>*RØ10</t>
  </si>
  <si>
    <t>*L50x50x6</t>
  </si>
  <si>
    <t>Ojačanje glavnih nosača CFRP laminatima</t>
  </si>
  <si>
    <r>
      <t>Ojačanje glavnih nosača lepljenjem karbonskih traka površine poprečnog preseka 140mm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. Površinu na koju se nanosi lepak je potrebno prethodno očistiti, odmastiti i otprašiti. U cenu ulaze nabavka i ugradnja lepka i karbonskih traka.</t>
    </r>
  </si>
  <si>
    <r>
      <t>Obračun po m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 xml:space="preserve"> karbonske trake</t>
    </r>
  </si>
  <si>
    <t>Izrada projekta izvedenog stanja</t>
  </si>
  <si>
    <t>Paušalno</t>
  </si>
  <si>
    <t>Probno opterećenje</t>
  </si>
  <si>
    <t>*prelazna ploča</t>
  </si>
  <si>
    <t>*kratki element prelazne ploče i parapet</t>
  </si>
  <si>
    <t>*Demontaža i ponovna montaža dva stuba javne rasvete sa svetiljkama, na mostu.</t>
  </si>
  <si>
    <t>Uklanjanje betona štemovanjem prosečne dubine 10cm</t>
  </si>
  <si>
    <t xml:space="preserve">Uklanjanje betona sa donje strane glavnih nosača i poprečnih nosača (na celoj dužini u osama 0, T2,  2,  T5 i 3 i na pola dužine u osama T1, T8 i T9) ,  oko korodiralih šipki armature, uključujući i zone sa ispucalim betonom, ručno (štemanjem) ili mašinskim putem (pikhamerima do 6kg). Dubina uklonjenog sloja betona zavisi od očuvanosti athezije između armature i betona i od stepena korozije armature. Šut prikupiti, utovariti na kamion i odneti na gradsku deponiju. </t>
  </si>
  <si>
    <r>
      <t>m</t>
    </r>
    <r>
      <rPr>
        <vertAlign val="superscript"/>
        <sz val="10"/>
        <rFont val="Arial"/>
        <family val="2"/>
        <charset val="238"/>
      </rPr>
      <t>2</t>
    </r>
  </si>
  <si>
    <t>*gornja površina ležišne grede na mestima novih AB kvadera</t>
  </si>
  <si>
    <r>
      <t>Impregnacja betonskih površina sredstvom za impregnaciju IS1 u dva sloja, pomoću četke, valjaka ili opreme za raspršivanje pod niskim pritiskom, u svemu prema uputstvu poizvođača. U cenu uračunata nabavka, transport i ugradnja materijala. Prosečna potrošnja je 0.4kg/m</t>
    </r>
    <r>
      <rPr>
        <vertAlign val="super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(0,2kg/m2 po jednom sloju)</t>
    </r>
  </si>
  <si>
    <t>Nanošenje zaštitnog premaza ZP1 pomoću četke, valjaka ili opreme za raspršivanje pod niskim pritiskom u dva sloja, u svemu prema uputstvu poizvođača. U cenu uračunata nabavka , transport i ugradnja materijala. Prosečna potrošnja je  (0.15kg/m2+0.20kg/m2) = 0.35kg/m2.</t>
  </si>
  <si>
    <r>
      <t>Zamena korodirale armature glavnih podužnih nosača prema tehničkom opisu. Ovom aktivnošću obuhvaćeno  je isecanje  postojećih šipki armature, uzengija i zmijaste armature i nastavljanje šipki podužne armature novom armaturom R</t>
    </r>
    <r>
      <rPr>
        <sz val="10"/>
        <color theme="1"/>
        <rFont val="Calibri"/>
        <family val="2"/>
        <charset val="238"/>
      </rPr>
      <t>Ø</t>
    </r>
    <r>
      <rPr>
        <sz val="10"/>
        <color theme="1"/>
        <rFont val="Arial"/>
        <family val="2"/>
        <charset val="238"/>
      </rPr>
      <t>32 pomoću podvezica RØ19 i L50x50x6 i uzengija zavarivanjem novih šipki RØ10  na preklop. U cenu ulaze nabavka, priprema materijala i rad.</t>
    </r>
  </si>
  <si>
    <r>
      <t>Premazivanje „otkrivenih“ šipki armature sredstvom za antikorozionu zašitu (premaz P1) i obezbeđenje bolje prionljivosti, nanošenjem četkom u dva sloja, na pripremljenu površinu šipki armature (pocenjena potrošnja 1,5kg/mm/m</t>
    </r>
    <r>
      <rPr>
        <vertAlign val="super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za jedan sloj)</t>
    </r>
  </si>
  <si>
    <t>Obračun po m2 premaza.</t>
  </si>
  <si>
    <t>Izrada bitumen.nosivog sloja BNS 22  d = 6cm           P=207m2, V=207m2*0.06cm=12.5m3</t>
  </si>
  <si>
    <t>Izrada habajućeg sloja od asfalt betona AB11 d = 4cm                     P=207m2, V=207m2*0.04cm=8.5m3</t>
  </si>
  <si>
    <t>Izrada donjeg nosećeg sloja od DKA 0/63
P=28m2, V=28m2*0.25cm=7m3</t>
  </si>
  <si>
    <t>Izrada donjeg nosećeg sloja od DKA 0/31.5
P=55m2, V=55m2*0.15cm=8.25m3</t>
  </si>
  <si>
    <t>Glаvni plоčаsti nоsаč оd аrmirаnоg bеtоnа- spregnuta konstrukcija. d=12cm C35/45( MБ 45) ;   М-150;   М+S=2</t>
  </si>
  <si>
    <t>Beton MB 40 (C30/37), V12, M150, M+S=1</t>
  </si>
  <si>
    <t xml:space="preserve">Izrada ab ispune dilatacije I dobetoniranje parapeta </t>
  </si>
  <si>
    <t xml:space="preserve">*Zaštita I izmeštanje vodovoda </t>
  </si>
  <si>
    <t>dato u posebnom  projektu -Sveska3</t>
  </si>
  <si>
    <t>Napomena : Obračun se odnosi na uklapanje oba mosta -  drumski i pešački most</t>
  </si>
  <si>
    <t>Obračun po m2 izvedenog premaza</t>
  </si>
  <si>
    <t>prema POS 802</t>
  </si>
  <si>
    <t xml:space="preserve">Privremena saobraćajna signalizacija </t>
  </si>
  <si>
    <t>Most će biti zatvoren za saobraćaj za sve vreme obavljanja radova osim za vozila za gradilište.</t>
  </si>
  <si>
    <t>Obnova spoljne AKZ zaštite mosta min debljine 250mikrona</t>
  </si>
  <si>
    <t>Podužna dilatacija između dva mosta prema detalju iz  projekta</t>
  </si>
  <si>
    <t>Ugrađivanje profilisane, neoprenske kompresovane  gume</t>
  </si>
  <si>
    <t>Montaža i demontaža privremenih oslonaca za sanaciju rasponske konstrukcije pešačkog mosta</t>
  </si>
  <si>
    <t>2 jarma ~6.5m +2x~8.5m</t>
  </si>
  <si>
    <t>Uklanjanje betona štemovanjem prosečne dubine 4cm</t>
  </si>
  <si>
    <t>*rečni stub u osi "2"</t>
  </si>
  <si>
    <t>*kratki elementi</t>
  </si>
  <si>
    <t xml:space="preserve">Uklanjanje betona štemovanjem </t>
  </si>
  <si>
    <t>*rečni stub u osi "1"</t>
  </si>
  <si>
    <t>Linijsko uklanjanje betona, prosečne dubine 5cm</t>
  </si>
  <si>
    <t xml:space="preserve">Uklanjanje betona ručno ili pikhamerima radi formiranja šlica za smeštaj dodatne armature kratkih elemenata dimenzija 4x5cm. Šut prikupiti, utovariti na kamion i odneti na gradsku deponiju. </t>
  </si>
  <si>
    <t>*bočna strana kratkih elemenati na rečnim stubovima</t>
  </si>
  <si>
    <t>131.5</t>
  </si>
  <si>
    <t>*rečni stubovi zajedno sa kratkim elementima</t>
  </si>
  <si>
    <t>Montaža i demontaža fasadne skele za sanaciju rasponske konstrukcije mosta</t>
  </si>
  <si>
    <t>Obračun po m2 površine pokrivene skelom.</t>
  </si>
  <si>
    <r>
      <t>Impregnacja betonskih površina sredstvom za impregnaciju IS1 u dva sloja, pomoću četke, valjaka ili opreme za raspršivanje pod niskim pritiskom, u svemu prema uputstvu poizvođača. U cenu uračunata nabavka, transport i ugradnja materijala. Prosečna potrošnja je 0.4kg/m</t>
    </r>
    <r>
      <rPr>
        <vertAlign val="superscript"/>
        <sz val="10"/>
        <rFont val="Arial"/>
        <family val="2"/>
        <charset val="238"/>
      </rPr>
      <t xml:space="preserve">2 </t>
    </r>
    <r>
      <rPr>
        <sz val="10"/>
        <rFont val="Arial"/>
        <family val="2"/>
        <charset val="238"/>
      </rPr>
      <t>(0,2kg/m2 po jednom sloju)</t>
    </r>
  </si>
  <si>
    <r>
      <t>Premazivanje „otkrivenih“ šipki armature sredstvom za antikorozionu zašitu (premaz P1) i obezbeđenje bolje prionljivosti, nanošenjem četkom u dva sloja, na pripremljenu površinu šipki armature (pocenjena potrošnja 1,5kg/mm/m</t>
    </r>
    <r>
      <rPr>
        <vertAlign val="superscript"/>
        <sz val="10"/>
        <rFont val="Arial"/>
        <family val="2"/>
        <charset val="238"/>
      </rPr>
      <t xml:space="preserve">2 </t>
    </r>
    <r>
      <rPr>
        <sz val="10"/>
        <rFont val="Arial"/>
        <family val="2"/>
        <charset val="238"/>
      </rPr>
      <t>za jedan sloj)</t>
    </r>
  </si>
  <si>
    <t>*kratki elementi na rečnim stubovima</t>
  </si>
  <si>
    <t>Betoniranje nedostajućeg delova preseka nalivanjem u oplati</t>
  </si>
  <si>
    <t xml:space="preserve">Betoniranje nedostajućih delova preseka rečnog stuba u osi "1" (odštemovana zona) i kratkih elemenata oba rečna stuba tadi pojačavanja kratkih elemenata, samougrađujućim (SCC) trofrakcijskim (Dmax=16mm) betonom MB40 (beton B2), nalivanjem. Oplatne ravni moraju biti od panela (nije dozoljena daščana oplata). U cenu ulaze rad, materijal, oprema, oplata, noseća konstrukcija oplate i nega betona. </t>
  </si>
  <si>
    <t>Uklanjanje postojećih ležišta sa odvoženjem na deponiju</t>
  </si>
  <si>
    <t>Obračun po komadu uklonjenog / ugrađenog  ležišta</t>
  </si>
  <si>
    <t>zamena čeličnih ležišta neankerisanim elastomernim ležištima tip1 100*150*35- na oporcima 2x2kom
200*250*30-na srednjim stubovima 2x2kom</t>
  </si>
  <si>
    <t>Nabavka i ugradnja novih ležišta</t>
  </si>
  <si>
    <t>ankeri za sanaciju kratkih elemenata stubova</t>
  </si>
  <si>
    <t>Nabavka, montaža i demontaža hidrauličkih presa za odizanje konstrukcije prilikom sanacija</t>
  </si>
  <si>
    <t xml:space="preserve">Potrebna zauzetost- 3 dana prilikom uklanjanja pendela + 2 dana za postavljanje novih ležišta </t>
  </si>
  <si>
    <t>dana</t>
  </si>
  <si>
    <t>Obračun po presi / dan</t>
  </si>
  <si>
    <t>dan</t>
  </si>
  <si>
    <t>Potrebna presa je  minimalnog kapaciteta 10 tona - 12kom</t>
  </si>
  <si>
    <t>Montaža i demontaža fasadne skele za sanaciju stubova mosta</t>
  </si>
  <si>
    <t>Jaram postaviti van ose postojećih stubova mosta i osloniti na svoj temelj. Visinu stubova jarma odrediti na licu mesta nakon iskopa i izvođenja temelja za jarmove. Obaveza izvođača je da  prilagodi jaram svojim materijalima i sredstvima tako da zadovolji nosivost od 200kN, te u svemu po važećim propisima i merama HTZ-a. Konstrukcija jarma i  njegovi temelji ne smeju da zadiru u železnički profil.  Jaram se mora obavezno uzemljiti. Koristi se za vreme trajanja radova na sanaciji čelične konstrukcije mosta. Uklanjaju se nakon očvršćavanja betona kolovozne ploče.</t>
  </si>
  <si>
    <t>Procenjena vrednost po jarmu</t>
  </si>
  <si>
    <t>Postavljanje ankera sa zalivanjem rupa ekspandirajućim malterom</t>
  </si>
  <si>
    <t xml:space="preserve">Ugradnja ankera Ø16 za sanaciju kratkih elemenata stubova. Rupe za ankere su   Ø18. </t>
  </si>
  <si>
    <t xml:space="preserve">Potrebna zauzetost- 2 dana prilikom uklanjanja ležišta + 1 dan za postavljanje novih ležišta </t>
  </si>
  <si>
    <t>Uklanjanje  montažnih ploča kolovozne konstrukcije mosta zajedno sa slojem asfalta uz prethodno zasecanje asfalta duž kontakta susednih montažnih AB ploča</t>
  </si>
  <si>
    <t>Uklanjanje betona postojeće ploče za smeštaj slivnika</t>
  </si>
  <si>
    <t xml:space="preserve"> na oba kraja mosta u dužini 9.0m </t>
  </si>
  <si>
    <t>Obračun po m1 uklonjene ograde</t>
  </si>
  <si>
    <t>*kolovozna ploča (donja strana)</t>
  </si>
  <si>
    <r>
      <t>Malterisanje površine betona reparaturnim  malterom (RM2) za izvođenje izravnavajućeg sloja. Reparaturni malter se nanosi mašinski</t>
    </r>
    <r>
      <rPr>
        <sz val="10"/>
        <rFont val="Arial"/>
        <family val="2"/>
        <charset val="238"/>
      </rPr>
      <t>m putem</t>
    </r>
    <r>
      <rPr>
        <sz val="10"/>
        <color theme="1"/>
        <rFont val="Arial"/>
        <family val="2"/>
        <charset val="238"/>
      </rPr>
      <t xml:space="preserve"> postupkom vlažnog prskanja u sloju prosečne debljine 3cm. Nakon nanošenja maltera, površina se poravnava gletericom ili letvom pomoću vođica i distancera. Po izvođenju radova potrebno je obezbediti odgovarajuću negu. U cenu su uračunati nabavka, transport, spravljanje, mašinsko malterisanje i ručno ravnanje.                                              * obalni stubovi</t>
    </r>
  </si>
  <si>
    <t>Zamena korodirale armature glavnih nosača</t>
  </si>
  <si>
    <t>Potrebne prese su  minimalnog kapaciteta 2 kom od 50 tona i 
od 2 kom od 20 tona</t>
  </si>
  <si>
    <t>Uklanjanje  asfalta sa kolovozne ploče mosta</t>
  </si>
  <si>
    <t>gornja površina kolovozne ploče</t>
  </si>
  <si>
    <t>Izrada poliuretanskog sloja sa posipom od kvarcnog peska</t>
  </si>
  <si>
    <t xml:space="preserve">Izrada poliuretanskog sloja sa kvarcnim posipom </t>
  </si>
  <si>
    <t>ploča mosta</t>
  </si>
  <si>
    <t>Obračun po broju otvora</t>
  </si>
  <si>
    <t>Bušenje otvora u betonu za instalaciju atmosferske kanalizacije</t>
  </si>
  <si>
    <t>*slivnici u AB kolovoznoj ploči</t>
  </si>
  <si>
    <r>
      <t>*kroz glavni AB nosač (</t>
    </r>
    <r>
      <rPr>
        <sz val="10"/>
        <color rgb="FF000000"/>
        <rFont val="Calibri"/>
        <family val="2"/>
        <charset val="238"/>
      </rPr>
      <t>Ø</t>
    </r>
    <r>
      <rPr>
        <sz val="10"/>
        <color rgb="FF000000"/>
        <rFont val="Arial"/>
        <family val="2"/>
        <charset val="238"/>
      </rPr>
      <t>250mm)</t>
    </r>
  </si>
  <si>
    <t>Nabavka reparaturnog  maltera (RM1) i reprofilisanje – popunjavanje lokalnih oštećenja prosečne dubine 4cm,  na prethodno pripremljenu površinu betona. Reparaturni malter se nanosi ručno, utiskivanjem u sloju debljine do 3cm. Ako je dubina odštemovane zone veća od 3cm, reparaturni malter naneti u više slojeva. Uz ivice elemenata koristiti jednostaranu oplatu. U cenu uračunata nabavka, transport i ugradnja materijala.                    
*obalni stubovi</t>
  </si>
  <si>
    <t>UKUPNO (BEZ PDV-A)</t>
  </si>
  <si>
    <t>UKUPNO (SA PDV-OM)</t>
  </si>
  <si>
    <t>DRUMSKO-PEŠAČKI MOST</t>
  </si>
  <si>
    <t>PEŠAČKI MOST</t>
  </si>
  <si>
    <t>100.1</t>
  </si>
  <si>
    <t>100.2</t>
  </si>
  <si>
    <t>300.1</t>
  </si>
  <si>
    <t>300.2</t>
  </si>
  <si>
    <t>300.3</t>
  </si>
  <si>
    <t>300.4</t>
  </si>
  <si>
    <t>REKAPITULACIJA</t>
  </si>
  <si>
    <t>PREDMER RADOVA</t>
  </si>
  <si>
    <t>Postavljanje odgovarajuće saobraćajne signalizacije i opreme kojom će se obezbediti radovi na sanaciji mosta i izrada Projekta privremene saobraćajne signalizacije</t>
  </si>
  <si>
    <t>PREDMER  RADOVA</t>
  </si>
  <si>
    <t>Postavljanje odgovarajuće saobraćajne signalizacije i opreme kojom će se obezbediti radovi na sanaciji mosta i i izrada Projekta privremene saobraćajne signalizacije</t>
  </si>
  <si>
    <t>PREDMER RADOVA UKLAPANJA MOSTA U POSTOJEĆE STANJE</t>
  </si>
  <si>
    <t>Iznos bez PDV-a</t>
  </si>
  <si>
    <t>Iznos bez PDVa</t>
  </si>
  <si>
    <t>u toku izvođenja radova. Ova pozicija obuhvata neophodna geodetska merenja radi nivelacije elememata kod izrade predviđenih pozicija radova i izradu svih potrebnih Elaborata geodetskih radova za sve izvedene radove (Elaborati potrebni za dobijanje upotrebne dozvole)</t>
  </si>
  <si>
    <t>u toku izvođenja radova. Ova pozicija obuhvata neophodna geodetska merenja radi nivelacije elememata kod izrade predviđenih pozicija radova i iizradu svih potrebnih Elaborata geodetskih radova za sve izvedene radove (Elaborati potrebni za dobijanje upotrebne dozvole)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</si>
</sst>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\ _D_i_n_._-;\-* #,##0.00\ _D_i_n_._-;_-* &quot;-&quot;??\ _D_i_n_._-;_-@_-"/>
    <numFmt numFmtId="165" formatCode="0.0"/>
    <numFmt numFmtId="166" formatCode="0."/>
    <numFmt numFmtId="167" formatCode="0.00_)"/>
  </numFmts>
  <fonts count="62"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charset val="238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11"/>
      <name val="YUFuturaL"/>
      <charset val="238"/>
    </font>
    <font>
      <sz val="9"/>
      <name val="Yu Times New Roman"/>
      <family val="1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  <charset val="238"/>
    </font>
    <font>
      <sz val="11"/>
      <color rgb="FF6600FF"/>
      <name val="Calibri"/>
      <family val="2"/>
      <charset val="238"/>
    </font>
    <font>
      <b/>
      <sz val="11"/>
      <color indexed="8"/>
      <name val="Arial"/>
      <family val="2"/>
    </font>
    <font>
      <sz val="10"/>
      <name val="Dutch"/>
      <family val="2"/>
    </font>
    <font>
      <sz val="10"/>
      <name val="Dutch Bold"/>
      <family val="2"/>
    </font>
    <font>
      <sz val="11"/>
      <name val="YUFutur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Helv"/>
      <family val="2"/>
    </font>
    <font>
      <sz val="11"/>
      <name val="Dutch Bold"/>
      <family val="2"/>
    </font>
    <font>
      <sz val="9"/>
      <name val="Yu Times New Roman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rgb="FFFF0000"/>
      <name val="Arial"/>
      <family val="2"/>
      <charset val="238"/>
    </font>
    <font>
      <sz val="14"/>
      <name val="Arial"/>
      <family val="2"/>
    </font>
    <font>
      <sz val="11"/>
      <name val="Arial"/>
      <family val="2"/>
    </font>
    <font>
      <sz val="12"/>
      <color indexed="1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theme="1"/>
      <name val="Calibri"/>
      <family val="2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name val="Arial"/>
      <family val="2"/>
    </font>
    <font>
      <sz val="12"/>
      <name val="Arial"/>
      <family val="2"/>
    </font>
    <font>
      <sz val="1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40">
    <xf numFmtId="0" fontId="0" fillId="0" borderId="0"/>
    <xf numFmtId="164" fontId="2" fillId="0" borderId="0" applyFill="0" applyBorder="0" applyAlignment="0" applyProtection="0"/>
    <xf numFmtId="0" fontId="8" fillId="0" borderId="0"/>
    <xf numFmtId="0" fontId="9" fillId="0" borderId="18">
      <alignment horizontal="center" vertical="center" textRotation="90" wrapText="1"/>
    </xf>
    <xf numFmtId="166" fontId="22" fillId="0" borderId="28">
      <alignment horizontal="center" vertical="top"/>
    </xf>
    <xf numFmtId="43" fontId="2" fillId="0" borderId="0" applyFill="0" applyBorder="0" applyAlignment="0" applyProtection="0"/>
    <xf numFmtId="167" fontId="23" fillId="0" borderId="28">
      <alignment horizontal="right"/>
    </xf>
    <xf numFmtId="0" fontId="22" fillId="0" borderId="28">
      <alignment horizontal="center"/>
    </xf>
    <xf numFmtId="2" fontId="23" fillId="0" borderId="28">
      <alignment horizontal="right"/>
    </xf>
    <xf numFmtId="0" fontId="23" fillId="0" borderId="28">
      <alignment horizontal="center" vertical="center" wrapText="1"/>
    </xf>
    <xf numFmtId="0" fontId="24" fillId="0" borderId="0"/>
    <xf numFmtId="0" fontId="2" fillId="0" borderId="0"/>
    <xf numFmtId="0" fontId="2" fillId="0" borderId="0"/>
    <xf numFmtId="0" fontId="24" fillId="0" borderId="0"/>
    <xf numFmtId="0" fontId="18" fillId="0" borderId="0"/>
    <xf numFmtId="0" fontId="25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" fillId="4" borderId="19" applyNumberFormat="0" applyFont="0" applyAlignment="0" applyProtection="0"/>
    <xf numFmtId="9" fontId="10" fillId="0" borderId="0" applyFont="0" applyFill="0" applyBorder="0" applyAlignment="0" applyProtection="0"/>
    <xf numFmtId="0" fontId="27" fillId="0" borderId="0"/>
    <xf numFmtId="0" fontId="22" fillId="0" borderId="28">
      <alignment horizontal="left" vertical="top" wrapText="1"/>
    </xf>
    <xf numFmtId="0" fontId="28" fillId="0" borderId="29">
      <alignment horizontal="left" vertical="center"/>
    </xf>
    <xf numFmtId="0" fontId="28" fillId="0" borderId="0">
      <alignment horizontal="left" vertical="center"/>
    </xf>
    <xf numFmtId="0" fontId="29" fillId="0" borderId="18">
      <alignment horizontal="center" vertical="center" textRotation="90" wrapText="1"/>
    </xf>
    <xf numFmtId="0" fontId="44" fillId="0" borderId="0"/>
    <xf numFmtId="0" fontId="45" fillId="0" borderId="0">
      <alignment horizontal="center"/>
    </xf>
    <xf numFmtId="0" fontId="45" fillId="0" borderId="0">
      <alignment horizontal="center" textRotation="90"/>
    </xf>
    <xf numFmtId="0" fontId="46" fillId="0" borderId="0"/>
    <xf numFmtId="0" fontId="46" fillId="0" borderId="0"/>
    <xf numFmtId="0" fontId="16" fillId="0" borderId="0"/>
    <xf numFmtId="43" fontId="44" fillId="0" borderId="0" applyFont="0" applyFill="0" applyBorder="0" applyAlignment="0" applyProtection="0"/>
    <xf numFmtId="0" fontId="35" fillId="0" borderId="0"/>
    <xf numFmtId="0" fontId="1" fillId="0" borderId="0"/>
    <xf numFmtId="0" fontId="1" fillId="0" borderId="0"/>
    <xf numFmtId="0" fontId="1" fillId="0" borderId="0"/>
  </cellStyleXfs>
  <cellXfs count="44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5" fillId="0" borderId="0" xfId="0" applyFont="1"/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164" fontId="2" fillId="0" borderId="0" xfId="1" applyAlignment="1">
      <alignment horizontal="center"/>
    </xf>
    <xf numFmtId="164" fontId="2" fillId="0" borderId="0" xfId="1" applyBorder="1" applyAlignment="1">
      <alignment horizontal="center" vertical="center" wrapText="1"/>
    </xf>
    <xf numFmtId="164" fontId="2" fillId="0" borderId="0" xfId="1" applyFill="1" applyBorder="1" applyAlignment="1">
      <alignment horizontal="center"/>
    </xf>
    <xf numFmtId="164" fontId="2" fillId="0" borderId="0" xfId="1" applyFill="1" applyAlignment="1">
      <alignment horizontal="center"/>
    </xf>
    <xf numFmtId="0" fontId="18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3" borderId="0" xfId="0" applyFill="1"/>
    <xf numFmtId="0" fontId="1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12" fillId="0" borderId="0" xfId="0" applyFont="1" applyAlignment="1">
      <alignment vertical="center"/>
    </xf>
    <xf numFmtId="0" fontId="20" fillId="0" borderId="0" xfId="0" applyFont="1"/>
    <xf numFmtId="2" fontId="0" fillId="0" borderId="0" xfId="0" applyNumberFormat="1"/>
    <xf numFmtId="0" fontId="32" fillId="0" borderId="0" xfId="11" applyFont="1" applyAlignment="1">
      <alignment wrapText="1"/>
    </xf>
    <xf numFmtId="0" fontId="34" fillId="0" borderId="0" xfId="11" applyFont="1" applyAlignment="1">
      <alignment horizontal="center" wrapText="1"/>
    </xf>
    <xf numFmtId="0" fontId="34" fillId="0" borderId="0" xfId="11" applyFont="1" applyAlignment="1">
      <alignment wrapText="1"/>
    </xf>
    <xf numFmtId="0" fontId="32" fillId="0" borderId="0" xfId="11" applyFont="1"/>
    <xf numFmtId="0" fontId="36" fillId="0" borderId="0" xfId="11" applyFont="1" applyAlignment="1">
      <alignment vertical="top" wrapText="1"/>
    </xf>
    <xf numFmtId="0" fontId="37" fillId="0" borderId="0" xfId="11" applyFont="1" applyAlignment="1">
      <alignment wrapText="1"/>
    </xf>
    <xf numFmtId="0" fontId="11" fillId="0" borderId="0" xfId="0" applyFont="1"/>
    <xf numFmtId="4" fontId="4" fillId="0" borderId="0" xfId="0" applyNumberFormat="1" applyFont="1" applyAlignment="1">
      <alignment horizontal="right" indent="1"/>
    </xf>
    <xf numFmtId="0" fontId="33" fillId="0" borderId="0" xfId="2" applyFont="1" applyAlignment="1">
      <alignment wrapText="1"/>
    </xf>
    <xf numFmtId="0" fontId="21" fillId="0" borderId="0" xfId="0" applyFont="1" applyAlignment="1">
      <alignment horizontal="justify" vertical="center"/>
    </xf>
    <xf numFmtId="0" fontId="4" fillId="5" borderId="17" xfId="0" applyFont="1" applyFill="1" applyBorder="1" applyAlignment="1">
      <alignment horizontal="right" vertical="top"/>
    </xf>
    <xf numFmtId="0" fontId="0" fillId="0" borderId="0" xfId="0" applyAlignment="1">
      <alignment vertical="top"/>
    </xf>
    <xf numFmtId="0" fontId="19" fillId="0" borderId="0" xfId="0" applyFont="1"/>
    <xf numFmtId="14" fontId="19" fillId="0" borderId="0" xfId="0" applyNumberFormat="1" applyFont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horizontal="right" wrapText="1" indent="1"/>
    </xf>
    <xf numFmtId="0" fontId="4" fillId="0" borderId="10" xfId="0" applyFont="1" applyBorder="1" applyAlignment="1">
      <alignment horizontal="right" vertical="top"/>
    </xf>
    <xf numFmtId="0" fontId="4" fillId="0" borderId="10" xfId="0" applyFont="1" applyBorder="1" applyAlignment="1">
      <alignment horizontal="left" vertical="top" wrapText="1"/>
    </xf>
    <xf numFmtId="0" fontId="4" fillId="0" borderId="17" xfId="0" applyFont="1" applyBorder="1" applyAlignment="1">
      <alignment vertical="top" wrapText="1"/>
    </xf>
    <xf numFmtId="164" fontId="2" fillId="0" borderId="0" xfId="1" applyBorder="1" applyAlignment="1">
      <alignment horizontal="center" wrapText="1"/>
    </xf>
    <xf numFmtId="0" fontId="0" fillId="0" borderId="0" xfId="0" applyAlignment="1">
      <alignment horizontal="center"/>
    </xf>
    <xf numFmtId="0" fontId="47" fillId="0" borderId="17" xfId="34" applyFont="1" applyBorder="1" applyAlignment="1">
      <alignment horizontal="left" vertical="top" wrapText="1"/>
    </xf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7" fillId="0" borderId="17" xfId="0" applyFont="1" applyBorder="1" applyAlignment="1">
      <alignment horizontal="right" vertical="top"/>
    </xf>
    <xf numFmtId="0" fontId="4" fillId="0" borderId="17" xfId="0" applyFont="1" applyBorder="1" applyAlignment="1">
      <alignment horizontal="right" vertical="top"/>
    </xf>
    <xf numFmtId="164" fontId="2" fillId="0" borderId="17" xfId="1" applyFill="1" applyBorder="1" applyAlignment="1">
      <alignment horizontal="center" vertical="top"/>
    </xf>
    <xf numFmtId="0" fontId="35" fillId="0" borderId="17" xfId="34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17" xfId="0" applyFont="1" applyBorder="1" applyAlignment="1">
      <alignment horizontal="left" vertical="top" wrapText="1"/>
    </xf>
    <xf numFmtId="0" fontId="15" fillId="0" borderId="17" xfId="0" applyFont="1" applyBorder="1" applyAlignment="1">
      <alignment horizontal="right" vertical="top"/>
    </xf>
    <xf numFmtId="0" fontId="15" fillId="0" borderId="17" xfId="0" applyFont="1" applyBorder="1" applyAlignment="1">
      <alignment horizontal="left" vertical="top" wrapText="1"/>
    </xf>
    <xf numFmtId="0" fontId="49" fillId="0" borderId="17" xfId="34" applyFont="1" applyBorder="1" applyAlignment="1">
      <alignment horizontal="left" vertical="top" wrapText="1"/>
    </xf>
    <xf numFmtId="0" fontId="2" fillId="0" borderId="17" xfId="0" applyFont="1" applyBorder="1" applyAlignment="1">
      <alignment vertical="top" wrapText="1"/>
    </xf>
    <xf numFmtId="0" fontId="15" fillId="0" borderId="17" xfId="0" applyFont="1" applyBorder="1" applyAlignment="1">
      <alignment horizontal="center" vertical="top"/>
    </xf>
    <xf numFmtId="0" fontId="49" fillId="0" borderId="17" xfId="34" applyFont="1" applyBorder="1" applyAlignment="1">
      <alignment horizontal="left" vertical="top"/>
    </xf>
    <xf numFmtId="0" fontId="13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4" fillId="0" borderId="0" xfId="0" applyFont="1" applyAlignment="1">
      <alignment vertical="top" wrapText="1"/>
    </xf>
    <xf numFmtId="0" fontId="15" fillId="0" borderId="17" xfId="0" applyFont="1" applyBorder="1" applyAlignment="1">
      <alignment vertical="top" wrapText="1"/>
    </xf>
    <xf numFmtId="0" fontId="2" fillId="0" borderId="17" xfId="0" applyFont="1" applyBorder="1" applyAlignment="1">
      <alignment horizontal="left" vertical="top" wrapText="1"/>
    </xf>
    <xf numFmtId="0" fontId="42" fillId="0" borderId="17" xfId="0" applyFont="1" applyBorder="1" applyAlignment="1">
      <alignment vertical="top" wrapText="1"/>
    </xf>
    <xf numFmtId="164" fontId="2" fillId="0" borderId="17" xfId="1" applyFill="1" applyBorder="1" applyAlignment="1">
      <alignment horizontal="left" vertical="top" wrapText="1"/>
    </xf>
    <xf numFmtId="0" fontId="43" fillId="0" borderId="17" xfId="0" applyFont="1" applyBorder="1" applyAlignment="1">
      <alignment vertical="top" wrapText="1"/>
    </xf>
    <xf numFmtId="0" fontId="58" fillId="0" borderId="17" xfId="0" applyFont="1" applyBorder="1" applyAlignment="1">
      <alignment vertical="top" wrapText="1"/>
    </xf>
    <xf numFmtId="0" fontId="58" fillId="0" borderId="17" xfId="0" applyFont="1" applyBorder="1" applyAlignment="1">
      <alignment horizontal="left" vertical="top" wrapText="1"/>
    </xf>
    <xf numFmtId="0" fontId="4" fillId="0" borderId="17" xfId="2" applyFont="1" applyBorder="1" applyAlignment="1">
      <alignment vertical="top" wrapText="1"/>
    </xf>
    <xf numFmtId="0" fontId="15" fillId="0" borderId="17" xfId="0" applyFont="1" applyBorder="1" applyAlignment="1">
      <alignment horizontal="justify" vertical="top" wrapText="1"/>
    </xf>
    <xf numFmtId="0" fontId="17" fillId="0" borderId="17" xfId="0" applyFont="1" applyBorder="1" applyAlignment="1">
      <alignment vertical="top" wrapText="1"/>
    </xf>
    <xf numFmtId="0" fontId="47" fillId="0" borderId="17" xfId="34" applyFont="1" applyBorder="1" applyAlignment="1">
      <alignment horizontal="left" vertical="top"/>
    </xf>
    <xf numFmtId="0" fontId="15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5" fillId="2" borderId="0" xfId="0" applyFont="1" applyFill="1" applyAlignment="1">
      <alignment horizontal="center" vertical="top"/>
    </xf>
    <xf numFmtId="0" fontId="0" fillId="0" borderId="0" xfId="0" applyAlignment="1">
      <alignment vertical="top" wrapText="1"/>
    </xf>
    <xf numFmtId="0" fontId="2" fillId="0" borderId="17" xfId="0" applyFont="1" applyBorder="1" applyAlignment="1">
      <alignment horizontal="center" vertical="top"/>
    </xf>
    <xf numFmtId="2" fontId="2" fillId="0" borderId="17" xfId="1" applyNumberFormat="1" applyFill="1" applyBorder="1" applyAlignment="1">
      <alignment horizontal="center" vertical="top"/>
    </xf>
    <xf numFmtId="0" fontId="47" fillId="0" borderId="17" xfId="34" applyFont="1" applyBorder="1" applyAlignment="1">
      <alignment horizontal="center" vertical="top"/>
    </xf>
    <xf numFmtId="0" fontId="50" fillId="0" borderId="17" xfId="0" applyFont="1" applyBorder="1" applyAlignment="1">
      <alignment horizontal="center" vertical="top"/>
    </xf>
    <xf numFmtId="0" fontId="35" fillId="0" borderId="17" xfId="34" applyFont="1" applyBorder="1" applyAlignment="1">
      <alignment horizontal="center" vertical="top"/>
    </xf>
    <xf numFmtId="164" fontId="35" fillId="0" borderId="17" xfId="1" applyFont="1" applyFill="1" applyBorder="1" applyAlignment="1">
      <alignment horizontal="center" vertical="top"/>
    </xf>
    <xf numFmtId="0" fontId="35" fillId="0" borderId="17" xfId="0" applyFont="1" applyBorder="1" applyAlignment="1">
      <alignment horizontal="center" vertical="top"/>
    </xf>
    <xf numFmtId="0" fontId="15" fillId="0" borderId="17" xfId="0" applyFont="1" applyBorder="1" applyAlignment="1">
      <alignment horizontal="center" vertical="top" wrapText="1"/>
    </xf>
    <xf numFmtId="2" fontId="15" fillId="0" borderId="17" xfId="0" applyNumberFormat="1" applyFont="1" applyBorder="1" applyAlignment="1">
      <alignment horizontal="center" vertical="top"/>
    </xf>
    <xf numFmtId="4" fontId="4" fillId="0" borderId="17" xfId="0" applyNumberFormat="1" applyFont="1" applyBorder="1" applyAlignment="1">
      <alignment horizontal="right" vertical="top"/>
    </xf>
    <xf numFmtId="2" fontId="15" fillId="0" borderId="17" xfId="0" applyNumberFormat="1" applyFont="1" applyBorder="1" applyAlignment="1">
      <alignment horizontal="center" vertical="top" wrapText="1"/>
    </xf>
    <xf numFmtId="2" fontId="15" fillId="0" borderId="0" xfId="0" applyNumberFormat="1" applyFont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2" fontId="15" fillId="0" borderId="10" xfId="0" applyNumberFormat="1" applyFont="1" applyBorder="1" applyAlignment="1">
      <alignment horizontal="center" vertical="top"/>
    </xf>
    <xf numFmtId="2" fontId="2" fillId="0" borderId="17" xfId="0" applyNumberFormat="1" applyFont="1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2" fontId="0" fillId="0" borderId="17" xfId="0" applyNumberFormat="1" applyBorder="1" applyAlignment="1">
      <alignment horizontal="center" vertical="top"/>
    </xf>
    <xf numFmtId="2" fontId="4" fillId="0" borderId="17" xfId="0" applyNumberFormat="1" applyFont="1" applyBorder="1" applyAlignment="1">
      <alignment horizontal="center" vertical="top"/>
    </xf>
    <xf numFmtId="2" fontId="3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right" vertical="top"/>
    </xf>
    <xf numFmtId="0" fontId="15" fillId="0" borderId="0" xfId="0" applyFont="1" applyAlignment="1">
      <alignment horizontal="right" vertical="top"/>
    </xf>
    <xf numFmtId="4" fontId="15" fillId="0" borderId="10" xfId="0" applyNumberFormat="1" applyFont="1" applyBorder="1" applyAlignment="1">
      <alignment horizontal="right" vertical="top"/>
    </xf>
    <xf numFmtId="4" fontId="15" fillId="0" borderId="17" xfId="0" applyNumberFormat="1" applyFont="1" applyBorder="1" applyAlignment="1">
      <alignment horizontal="right" vertical="top"/>
    </xf>
    <xf numFmtId="4" fontId="2" fillId="0" borderId="17" xfId="0" applyNumberFormat="1" applyFont="1" applyBorder="1" applyAlignment="1">
      <alignment horizontal="right" vertical="top"/>
    </xf>
    <xf numFmtId="164" fontId="2" fillId="0" borderId="17" xfId="1" applyFill="1" applyBorder="1" applyAlignment="1">
      <alignment horizontal="right" vertical="top"/>
    </xf>
    <xf numFmtId="165" fontId="15" fillId="0" borderId="17" xfId="0" applyNumberFormat="1" applyFont="1" applyBorder="1" applyAlignment="1">
      <alignment horizontal="right" vertical="top"/>
    </xf>
    <xf numFmtId="4" fontId="15" fillId="0" borderId="17" xfId="0" applyNumberFormat="1" applyFont="1" applyBorder="1" applyAlignment="1">
      <alignment horizontal="right" vertical="top" wrapText="1"/>
    </xf>
    <xf numFmtId="0" fontId="15" fillId="0" borderId="17" xfId="0" applyFont="1" applyBorder="1" applyAlignment="1">
      <alignment horizontal="right" vertical="top" wrapText="1"/>
    </xf>
    <xf numFmtId="0" fontId="0" fillId="0" borderId="17" xfId="0" applyBorder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/>
    </xf>
    <xf numFmtId="164" fontId="2" fillId="0" borderId="14" xfId="1" applyFill="1" applyBorder="1" applyAlignment="1">
      <alignment horizontal="left" vertical="top" wrapText="1"/>
    </xf>
    <xf numFmtId="0" fontId="15" fillId="0" borderId="14" xfId="0" applyFont="1" applyBorder="1" applyAlignment="1">
      <alignment horizontal="center" vertical="top"/>
    </xf>
    <xf numFmtId="0" fontId="17" fillId="0" borderId="10" xfId="2" applyFont="1" applyBorder="1" applyAlignment="1">
      <alignment vertical="top" wrapText="1"/>
    </xf>
    <xf numFmtId="164" fontId="2" fillId="0" borderId="10" xfId="1" applyFill="1" applyBorder="1" applyAlignment="1">
      <alignment horizontal="center" vertical="top"/>
    </xf>
    <xf numFmtId="164" fontId="2" fillId="0" borderId="10" xfId="1" applyFill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164" fontId="2" fillId="0" borderId="0" xfId="1" applyFill="1" applyBorder="1" applyAlignment="1">
      <alignment horizontal="left" vertical="top" wrapText="1"/>
    </xf>
    <xf numFmtId="2" fontId="4" fillId="0" borderId="0" xfId="0" applyNumberFormat="1" applyFont="1" applyAlignment="1">
      <alignment horizontal="center" vertical="top"/>
    </xf>
    <xf numFmtId="4" fontId="4" fillId="0" borderId="0" xfId="0" applyNumberFormat="1" applyFont="1" applyAlignment="1">
      <alignment horizontal="right" vertical="top"/>
    </xf>
    <xf numFmtId="0" fontId="4" fillId="0" borderId="46" xfId="0" applyFont="1" applyBorder="1" applyAlignment="1">
      <alignment horizontal="center" vertical="top"/>
    </xf>
    <xf numFmtId="0" fontId="4" fillId="0" borderId="47" xfId="0" applyFont="1" applyBorder="1" applyAlignment="1">
      <alignment vertical="top" wrapText="1"/>
    </xf>
    <xf numFmtId="0" fontId="15" fillId="0" borderId="47" xfId="0" applyFont="1" applyBorder="1" applyAlignment="1">
      <alignment horizontal="center" vertical="top"/>
    </xf>
    <xf numFmtId="2" fontId="15" fillId="0" borderId="47" xfId="0" applyNumberFormat="1" applyFont="1" applyBorder="1" applyAlignment="1">
      <alignment horizontal="center" vertical="top"/>
    </xf>
    <xf numFmtId="4" fontId="15" fillId="0" borderId="47" xfId="0" applyNumberFormat="1" applyFont="1" applyBorder="1" applyAlignment="1">
      <alignment horizontal="right" vertical="top"/>
    </xf>
    <xf numFmtId="4" fontId="15" fillId="0" borderId="48" xfId="0" applyNumberFormat="1" applyFont="1" applyBorder="1" applyAlignment="1">
      <alignment horizontal="right" vertical="top"/>
    </xf>
    <xf numFmtId="0" fontId="4" fillId="0" borderId="16" xfId="0" applyFont="1" applyBorder="1" applyAlignment="1">
      <alignment horizontal="center" vertical="top"/>
    </xf>
    <xf numFmtId="4" fontId="15" fillId="0" borderId="38" xfId="0" applyNumberFormat="1" applyFont="1" applyBorder="1" applyAlignment="1">
      <alignment horizontal="right" vertical="top"/>
    </xf>
    <xf numFmtId="0" fontId="15" fillId="0" borderId="16" xfId="0" applyFont="1" applyBorder="1" applyAlignment="1">
      <alignment horizontal="center" vertical="top"/>
    </xf>
    <xf numFmtId="4" fontId="2" fillId="0" borderId="38" xfId="0" applyNumberFormat="1" applyFont="1" applyBorder="1" applyAlignment="1">
      <alignment horizontal="right" vertical="top"/>
    </xf>
    <xf numFmtId="164" fontId="2" fillId="0" borderId="38" xfId="1" applyFill="1" applyBorder="1" applyAlignment="1">
      <alignment horizontal="right" vertical="top"/>
    </xf>
    <xf numFmtId="164" fontId="17" fillId="0" borderId="16" xfId="1" applyFont="1" applyFill="1" applyBorder="1" applyAlignment="1">
      <alignment horizontal="center" vertical="top"/>
    </xf>
    <xf numFmtId="0" fontId="17" fillId="0" borderId="16" xfId="0" applyFont="1" applyBorder="1" applyAlignment="1">
      <alignment horizontal="center" vertical="top"/>
    </xf>
    <xf numFmtId="0" fontId="4" fillId="0" borderId="51" xfId="0" applyFont="1" applyBorder="1" applyAlignment="1">
      <alignment horizontal="center" vertical="top"/>
    </xf>
    <xf numFmtId="0" fontId="15" fillId="0" borderId="14" xfId="0" applyFont="1" applyBorder="1" applyAlignment="1">
      <alignment horizontal="left" vertical="top" wrapText="1"/>
    </xf>
    <xf numFmtId="2" fontId="15" fillId="0" borderId="14" xfId="0" applyNumberFormat="1" applyFont="1" applyBorder="1" applyAlignment="1">
      <alignment horizontal="center" vertical="top"/>
    </xf>
    <xf numFmtId="4" fontId="15" fillId="0" borderId="14" xfId="0" applyNumberFormat="1" applyFont="1" applyBorder="1" applyAlignment="1">
      <alignment horizontal="right" vertical="top"/>
    </xf>
    <xf numFmtId="4" fontId="15" fillId="0" borderId="52" xfId="0" applyNumberFormat="1" applyFont="1" applyBorder="1" applyAlignment="1">
      <alignment horizontal="right" vertical="top"/>
    </xf>
    <xf numFmtId="0" fontId="4" fillId="7" borderId="41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right" vertical="center"/>
    </xf>
    <xf numFmtId="0" fontId="4" fillId="7" borderId="11" xfId="0" applyFont="1" applyFill="1" applyBorder="1" applyAlignment="1">
      <alignment horizontal="center" vertical="top"/>
    </xf>
    <xf numFmtId="0" fontId="4" fillId="7" borderId="12" xfId="0" applyFont="1" applyFill="1" applyBorder="1" applyAlignment="1">
      <alignment horizontal="right" vertical="center"/>
    </xf>
    <xf numFmtId="0" fontId="15" fillId="7" borderId="12" xfId="0" applyFont="1" applyFill="1" applyBorder="1" applyAlignment="1">
      <alignment horizontal="center" vertical="top"/>
    </xf>
    <xf numFmtId="4" fontId="4" fillId="7" borderId="13" xfId="0" applyNumberFormat="1" applyFont="1" applyFill="1" applyBorder="1" applyAlignment="1">
      <alignment horizontal="right" vertical="top"/>
    </xf>
    <xf numFmtId="164" fontId="2" fillId="7" borderId="12" xfId="1" applyFill="1" applyBorder="1" applyAlignment="1">
      <alignment horizontal="left" vertical="center" wrapText="1"/>
    </xf>
    <xf numFmtId="4" fontId="4" fillId="7" borderId="12" xfId="0" applyNumberFormat="1" applyFont="1" applyFill="1" applyBorder="1" applyAlignment="1">
      <alignment horizontal="right" vertical="top"/>
    </xf>
    <xf numFmtId="0" fontId="47" fillId="0" borderId="14" xfId="34" applyFont="1" applyBorder="1" applyAlignment="1">
      <alignment horizontal="left" vertical="top" wrapText="1"/>
    </xf>
    <xf numFmtId="0" fontId="15" fillId="7" borderId="12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top"/>
    </xf>
    <xf numFmtId="4" fontId="15" fillId="0" borderId="53" xfId="0" applyNumberFormat="1" applyFont="1" applyBorder="1" applyAlignment="1">
      <alignment horizontal="right" vertical="top"/>
    </xf>
    <xf numFmtId="4" fontId="4" fillId="0" borderId="38" xfId="0" applyNumberFormat="1" applyFont="1" applyBorder="1" applyAlignment="1">
      <alignment horizontal="right" vertical="top"/>
    </xf>
    <xf numFmtId="0" fontId="15" fillId="0" borderId="10" xfId="0" applyFont="1" applyBorder="1" applyAlignment="1">
      <alignment horizontal="right" vertical="top"/>
    </xf>
    <xf numFmtId="0" fontId="15" fillId="7" borderId="12" xfId="0" applyFont="1" applyFill="1" applyBorder="1" applyAlignment="1">
      <alignment horizontal="right" vertical="top"/>
    </xf>
    <xf numFmtId="0" fontId="15" fillId="7" borderId="13" xfId="0" applyFont="1" applyFill="1" applyBorder="1" applyAlignment="1">
      <alignment horizontal="right" vertical="top"/>
    </xf>
    <xf numFmtId="0" fontId="4" fillId="0" borderId="47" xfId="0" applyFont="1" applyBorder="1" applyAlignment="1">
      <alignment horizontal="right" vertical="top"/>
    </xf>
    <xf numFmtId="0" fontId="16" fillId="0" borderId="17" xfId="2" applyFont="1" applyBorder="1" applyAlignment="1">
      <alignment horizontal="right" vertical="top" wrapText="1"/>
    </xf>
    <xf numFmtId="0" fontId="2" fillId="0" borderId="17" xfId="0" applyFont="1" applyBorder="1" applyAlignment="1">
      <alignment horizontal="right" vertical="top"/>
    </xf>
    <xf numFmtId="0" fontId="15" fillId="0" borderId="14" xfId="0" applyFont="1" applyBorder="1" applyAlignment="1">
      <alignment horizontal="right" vertical="top"/>
    </xf>
    <xf numFmtId="0" fontId="4" fillId="7" borderId="12" xfId="0" applyFont="1" applyFill="1" applyBorder="1" applyAlignment="1">
      <alignment horizontal="right" vertical="top"/>
    </xf>
    <xf numFmtId="0" fontId="41" fillId="0" borderId="17" xfId="2" applyFont="1" applyBorder="1" applyAlignment="1">
      <alignment horizontal="right" vertical="top" wrapText="1"/>
    </xf>
    <xf numFmtId="0" fontId="14" fillId="0" borderId="0" xfId="0" applyFont="1" applyAlignment="1">
      <alignment horizontal="right" vertical="top"/>
    </xf>
    <xf numFmtId="164" fontId="2" fillId="0" borderId="0" xfId="1" applyFill="1" applyBorder="1" applyAlignment="1">
      <alignment horizontal="right" vertical="top" wrapText="1"/>
    </xf>
    <xf numFmtId="164" fontId="2" fillId="0" borderId="17" xfId="1" applyFill="1" applyBorder="1" applyAlignment="1">
      <alignment horizontal="right" vertical="top" wrapText="1"/>
    </xf>
    <xf numFmtId="164" fontId="2" fillId="0" borderId="14" xfId="1" applyFill="1" applyBorder="1" applyAlignment="1">
      <alignment horizontal="right" vertical="top" wrapText="1"/>
    </xf>
    <xf numFmtId="164" fontId="55" fillId="0" borderId="17" xfId="1" applyFont="1" applyFill="1" applyBorder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15" fillId="2" borderId="0" xfId="0" applyFont="1" applyFill="1" applyAlignment="1">
      <alignment horizontal="right" vertical="top"/>
    </xf>
    <xf numFmtId="0" fontId="15" fillId="0" borderId="14" xfId="0" applyFont="1" applyBorder="1" applyAlignment="1">
      <alignment vertical="top" wrapText="1"/>
    </xf>
    <xf numFmtId="4" fontId="4" fillId="0" borderId="0" xfId="0" applyNumberFormat="1" applyFont="1" applyAlignment="1">
      <alignment horizontal="center" vertical="top"/>
    </xf>
    <xf numFmtId="0" fontId="4" fillId="0" borderId="14" xfId="0" applyFont="1" applyBorder="1" applyAlignment="1">
      <alignment horizontal="right" vertical="top"/>
    </xf>
    <xf numFmtId="0" fontId="15" fillId="0" borderId="14" xfId="0" applyFont="1" applyBorder="1" applyAlignment="1">
      <alignment horizontal="center" vertical="top" wrapText="1"/>
    </xf>
    <xf numFmtId="0" fontId="15" fillId="0" borderId="53" xfId="0" applyFont="1" applyBorder="1" applyAlignment="1">
      <alignment horizontal="right" vertical="top"/>
    </xf>
    <xf numFmtId="0" fontId="15" fillId="0" borderId="38" xfId="0" applyFont="1" applyBorder="1" applyAlignment="1">
      <alignment horizontal="right" vertical="top"/>
    </xf>
    <xf numFmtId="165" fontId="15" fillId="0" borderId="14" xfId="0" applyNumberFormat="1" applyFont="1" applyBorder="1" applyAlignment="1">
      <alignment horizontal="right" vertical="top"/>
    </xf>
    <xf numFmtId="43" fontId="15" fillId="0" borderId="38" xfId="0" applyNumberFormat="1" applyFont="1" applyBorder="1" applyAlignment="1">
      <alignment horizontal="right" vertical="top"/>
    </xf>
    <xf numFmtId="43" fontId="15" fillId="0" borderId="52" xfId="0" applyNumberFormat="1" applyFont="1" applyBorder="1" applyAlignment="1">
      <alignment horizontal="right" vertical="top"/>
    </xf>
    <xf numFmtId="0" fontId="4" fillId="7" borderId="12" xfId="0" applyFont="1" applyFill="1" applyBorder="1" applyAlignment="1">
      <alignment horizontal="center" vertical="top"/>
    </xf>
    <xf numFmtId="0" fontId="4" fillId="0" borderId="54" xfId="0" applyFont="1" applyBorder="1" applyAlignment="1">
      <alignment horizontal="center" vertical="top"/>
    </xf>
    <xf numFmtId="0" fontId="15" fillId="0" borderId="29" xfId="0" applyFont="1" applyBorder="1" applyAlignment="1">
      <alignment horizontal="right" vertical="top"/>
    </xf>
    <xf numFmtId="0" fontId="15" fillId="0" borderId="29" xfId="0" applyFont="1" applyBorder="1" applyAlignment="1">
      <alignment vertical="top" wrapText="1"/>
    </xf>
    <xf numFmtId="4" fontId="4" fillId="0" borderId="29" xfId="0" applyNumberFormat="1" applyFont="1" applyBorder="1" applyAlignment="1">
      <alignment horizontal="center" vertical="top"/>
    </xf>
    <xf numFmtId="2" fontId="4" fillId="0" borderId="29" xfId="0" applyNumberFormat="1" applyFont="1" applyBorder="1" applyAlignment="1">
      <alignment horizontal="center" vertical="top"/>
    </xf>
    <xf numFmtId="4" fontId="4" fillId="0" borderId="29" xfId="0" applyNumberFormat="1" applyFont="1" applyBorder="1" applyAlignment="1">
      <alignment horizontal="right" vertical="top"/>
    </xf>
    <xf numFmtId="4" fontId="4" fillId="0" borderId="55" xfId="0" applyNumberFormat="1" applyFont="1" applyBorder="1" applyAlignment="1">
      <alignment horizontal="right" vertical="top"/>
    </xf>
    <xf numFmtId="0" fontId="15" fillId="5" borderId="17" xfId="0" applyFont="1" applyFill="1" applyBorder="1" applyAlignment="1">
      <alignment horizontal="right" vertical="top"/>
    </xf>
    <xf numFmtId="0" fontId="16" fillId="5" borderId="17" xfId="2" applyFont="1" applyFill="1" applyBorder="1" applyAlignment="1">
      <alignment horizontal="right" vertical="top" wrapText="1"/>
    </xf>
    <xf numFmtId="0" fontId="41" fillId="0" borderId="10" xfId="2" applyFont="1" applyBorder="1" applyAlignment="1">
      <alignment horizontal="right" vertical="top" wrapText="1"/>
    </xf>
    <xf numFmtId="0" fontId="15" fillId="5" borderId="17" xfId="0" applyFont="1" applyFill="1" applyBorder="1" applyAlignment="1">
      <alignment horizontal="center" vertical="top"/>
    </xf>
    <xf numFmtId="0" fontId="15" fillId="5" borderId="17" xfId="0" applyFont="1" applyFill="1" applyBorder="1" applyAlignment="1">
      <alignment horizontal="left" vertical="top" wrapText="1"/>
    </xf>
    <xf numFmtId="0" fontId="35" fillId="0" borderId="17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42" fillId="5" borderId="17" xfId="0" applyFont="1" applyFill="1" applyBorder="1" applyAlignment="1">
      <alignment horizontal="left" vertical="top" wrapText="1"/>
    </xf>
    <xf numFmtId="0" fontId="43" fillId="0" borderId="17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5" fillId="0" borderId="17" xfId="0" applyFont="1" applyBorder="1" applyAlignment="1">
      <alignment horizontal="left" vertical="top"/>
    </xf>
    <xf numFmtId="0" fontId="15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164" fontId="2" fillId="5" borderId="17" xfId="1" applyFill="1" applyBorder="1" applyAlignment="1">
      <alignment horizontal="center" vertical="top"/>
    </xf>
    <xf numFmtId="2" fontId="15" fillId="5" borderId="17" xfId="0" applyNumberFormat="1" applyFont="1" applyFill="1" applyBorder="1" applyAlignment="1">
      <alignment horizontal="center" vertical="top"/>
    </xf>
    <xf numFmtId="0" fontId="57" fillId="0" borderId="17" xfId="0" applyFont="1" applyBorder="1" applyAlignment="1">
      <alignment horizontal="center" vertical="top"/>
    </xf>
    <xf numFmtId="2" fontId="57" fillId="0" borderId="17" xfId="0" applyNumberFormat="1" applyFont="1" applyBorder="1" applyAlignment="1">
      <alignment horizontal="center" vertical="top"/>
    </xf>
    <xf numFmtId="4" fontId="15" fillId="5" borderId="17" xfId="0" applyNumberFormat="1" applyFont="1" applyFill="1" applyBorder="1" applyAlignment="1">
      <alignment horizontal="right" vertical="top"/>
    </xf>
    <xf numFmtId="164" fontId="2" fillId="5" borderId="17" xfId="1" applyFill="1" applyBorder="1" applyAlignment="1">
      <alignment horizontal="right" vertical="top"/>
    </xf>
    <xf numFmtId="4" fontId="2" fillId="0" borderId="14" xfId="0" applyNumberFormat="1" applyFont="1" applyBorder="1" applyAlignment="1">
      <alignment horizontal="right" vertical="top"/>
    </xf>
    <xf numFmtId="0" fontId="4" fillId="5" borderId="17" xfId="0" applyFont="1" applyFill="1" applyBorder="1" applyAlignment="1">
      <alignment horizontal="left" vertical="top" wrapText="1"/>
    </xf>
    <xf numFmtId="0" fontId="15" fillId="6" borderId="17" xfId="0" applyFont="1" applyFill="1" applyBorder="1" applyAlignment="1">
      <alignment horizontal="left" vertical="top" wrapText="1"/>
    </xf>
    <xf numFmtId="0" fontId="4" fillId="5" borderId="17" xfId="0" applyFont="1" applyFill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164" fontId="2" fillId="5" borderId="17" xfId="1" applyFill="1" applyBorder="1" applyAlignment="1">
      <alignment horizontal="left" vertical="top" wrapText="1"/>
    </xf>
    <xf numFmtId="0" fontId="42" fillId="0" borderId="17" xfId="0" applyFont="1" applyBorder="1" applyAlignment="1">
      <alignment horizontal="left" vertical="top" wrapText="1"/>
    </xf>
    <xf numFmtId="0" fontId="17" fillId="0" borderId="17" xfId="2" applyFont="1" applyBorder="1" applyAlignment="1">
      <alignment horizontal="left" vertical="top" wrapText="1"/>
    </xf>
    <xf numFmtId="0" fontId="36" fillId="0" borderId="17" xfId="2" applyFont="1" applyBorder="1" applyAlignment="1">
      <alignment horizontal="left" vertical="top" wrapText="1"/>
    </xf>
    <xf numFmtId="2" fontId="35" fillId="0" borderId="17" xfId="0" applyNumberFormat="1" applyFont="1" applyBorder="1" applyAlignment="1">
      <alignment horizontal="center" vertical="top"/>
    </xf>
    <xf numFmtId="0" fontId="4" fillId="0" borderId="17" xfId="2" applyFont="1" applyBorder="1" applyAlignment="1">
      <alignment horizontal="left" vertical="top" wrapText="1"/>
    </xf>
    <xf numFmtId="4" fontId="15" fillId="0" borderId="17" xfId="0" applyNumberFormat="1" applyFont="1" applyBorder="1" applyAlignment="1">
      <alignment horizontal="center" vertical="top"/>
    </xf>
    <xf numFmtId="0" fontId="36" fillId="0" borderId="17" xfId="34" applyFont="1" applyBorder="1" applyAlignment="1">
      <alignment horizontal="left" vertical="top" wrapText="1"/>
    </xf>
    <xf numFmtId="0" fontId="2" fillId="0" borderId="14" xfId="0" applyFont="1" applyBorder="1" applyAlignment="1">
      <alignment horizontal="right" vertical="top"/>
    </xf>
    <xf numFmtId="0" fontId="2" fillId="0" borderId="14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/>
    </xf>
    <xf numFmtId="2" fontId="2" fillId="0" borderId="14" xfId="0" applyNumberFormat="1" applyFont="1" applyBorder="1" applyAlignment="1">
      <alignment horizontal="center" vertical="top"/>
    </xf>
    <xf numFmtId="0" fontId="4" fillId="5" borderId="16" xfId="0" applyFont="1" applyFill="1" applyBorder="1" applyAlignment="1">
      <alignment horizontal="center" vertical="top"/>
    </xf>
    <xf numFmtId="4" fontId="15" fillId="5" borderId="38" xfId="0" applyNumberFormat="1" applyFont="1" applyFill="1" applyBorder="1" applyAlignment="1">
      <alignment horizontal="right" vertical="top"/>
    </xf>
    <xf numFmtId="164" fontId="2" fillId="5" borderId="38" xfId="1" applyFill="1" applyBorder="1" applyAlignment="1">
      <alignment horizontal="right" vertical="top"/>
    </xf>
    <xf numFmtId="164" fontId="17" fillId="5" borderId="16" xfId="1" applyFont="1" applyFill="1" applyBorder="1" applyAlignment="1">
      <alignment horizontal="center" vertical="top"/>
    </xf>
    <xf numFmtId="0" fontId="4" fillId="5" borderId="51" xfId="0" applyFont="1" applyFill="1" applyBorder="1" applyAlignment="1">
      <alignment horizontal="center" vertical="top"/>
    </xf>
    <xf numFmtId="0" fontId="4" fillId="7" borderId="12" xfId="0" applyFont="1" applyFill="1" applyBorder="1" applyAlignment="1">
      <alignment horizontal="left" vertical="top"/>
    </xf>
    <xf numFmtId="0" fontId="4" fillId="0" borderId="29" xfId="0" applyFont="1" applyBorder="1" applyAlignment="1">
      <alignment horizontal="right" vertical="top"/>
    </xf>
    <xf numFmtId="0" fontId="4" fillId="0" borderId="29" xfId="0" applyFont="1" applyBorder="1" applyAlignment="1">
      <alignment horizontal="left" vertical="top"/>
    </xf>
    <xf numFmtId="0" fontId="15" fillId="0" borderId="29" xfId="0" applyFont="1" applyBorder="1" applyAlignment="1">
      <alignment horizontal="center" vertical="top"/>
    </xf>
    <xf numFmtId="0" fontId="15" fillId="7" borderId="12" xfId="0" applyFont="1" applyFill="1" applyBorder="1" applyAlignment="1">
      <alignment horizontal="left" vertical="top"/>
    </xf>
    <xf numFmtId="0" fontId="15" fillId="0" borderId="14" xfId="0" applyFont="1" applyBorder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24" xfId="0" applyFont="1" applyBorder="1" applyAlignment="1">
      <alignment horizontal="right" vertical="top"/>
    </xf>
    <xf numFmtId="0" fontId="4" fillId="0" borderId="24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center" vertical="top"/>
    </xf>
    <xf numFmtId="2" fontId="15" fillId="0" borderId="24" xfId="0" applyNumberFormat="1" applyFont="1" applyBorder="1" applyAlignment="1">
      <alignment horizontal="center" vertical="top"/>
    </xf>
    <xf numFmtId="0" fontId="15" fillId="0" borderId="24" xfId="0" applyFont="1" applyBorder="1" applyAlignment="1">
      <alignment horizontal="right" vertical="top"/>
    </xf>
    <xf numFmtId="0" fontId="4" fillId="0" borderId="27" xfId="0" applyFont="1" applyBorder="1" applyAlignment="1">
      <alignment horizontal="center" vertical="top"/>
    </xf>
    <xf numFmtId="0" fontId="15" fillId="0" borderId="28" xfId="0" applyFont="1" applyBorder="1" applyAlignment="1">
      <alignment horizontal="right" vertical="top"/>
    </xf>
    <xf numFmtId="0" fontId="4" fillId="0" borderId="60" xfId="0" applyFont="1" applyBorder="1" applyAlignment="1">
      <alignment horizontal="center" vertical="top"/>
    </xf>
    <xf numFmtId="0" fontId="15" fillId="0" borderId="61" xfId="0" applyFont="1" applyBorder="1" applyAlignment="1">
      <alignment horizontal="right" vertical="top"/>
    </xf>
    <xf numFmtId="0" fontId="15" fillId="0" borderId="55" xfId="0" applyFont="1" applyBorder="1" applyAlignment="1">
      <alignment horizontal="right" vertical="top"/>
    </xf>
    <xf numFmtId="0" fontId="4" fillId="0" borderId="24" xfId="0" applyFont="1" applyBorder="1" applyAlignment="1">
      <alignment horizontal="left" vertical="top"/>
    </xf>
    <xf numFmtId="1" fontId="30" fillId="0" borderId="9" xfId="11" applyNumberFormat="1" applyFont="1" applyBorder="1" applyAlignment="1">
      <alignment horizontal="left" vertical="top"/>
    </xf>
    <xf numFmtId="0" fontId="17" fillId="0" borderId="6" xfId="11" applyFont="1" applyBorder="1" applyAlignment="1">
      <alignment vertical="top" wrapText="1"/>
    </xf>
    <xf numFmtId="49" fontId="33" fillId="0" borderId="0" xfId="11" applyNumberFormat="1" applyFont="1" applyAlignment="1">
      <alignment horizontal="right" vertical="top" wrapText="1"/>
    </xf>
    <xf numFmtId="49" fontId="32" fillId="0" borderId="0" xfId="11" applyNumberFormat="1" applyFont="1" applyAlignment="1">
      <alignment horizontal="center" vertical="top" wrapText="1"/>
    </xf>
    <xf numFmtId="0" fontId="32" fillId="0" borderId="0" xfId="11" applyFont="1" applyAlignment="1">
      <alignment vertical="top" wrapText="1"/>
    </xf>
    <xf numFmtId="1" fontId="30" fillId="0" borderId="9" xfId="11" applyNumberFormat="1" applyFont="1" applyBorder="1" applyAlignment="1">
      <alignment horizontal="right" vertical="top"/>
    </xf>
    <xf numFmtId="1" fontId="35" fillId="0" borderId="0" xfId="11" applyNumberFormat="1" applyFont="1" applyAlignment="1">
      <alignment horizontal="right" vertical="top"/>
    </xf>
    <xf numFmtId="1" fontId="32" fillId="0" borderId="0" xfId="11" applyNumberFormat="1" applyFont="1" applyAlignment="1">
      <alignment horizontal="right" vertical="top" wrapText="1"/>
    </xf>
    <xf numFmtId="0" fontId="33" fillId="0" borderId="0" xfId="11" applyFont="1" applyAlignment="1">
      <alignment horizontal="right" vertical="top"/>
    </xf>
    <xf numFmtId="0" fontId="32" fillId="0" borderId="0" xfId="11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4" fillId="7" borderId="56" xfId="0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11" applyAlignment="1">
      <alignment horizontal="left" vertical="top"/>
    </xf>
    <xf numFmtId="0" fontId="0" fillId="0" borderId="0" xfId="0" applyAlignment="1">
      <alignment horizontal="center" vertical="top" wrapText="1"/>
    </xf>
    <xf numFmtId="0" fontId="2" fillId="0" borderId="4" xfId="11" applyBorder="1" applyAlignment="1">
      <alignment horizontal="left" vertical="top" wrapText="1"/>
    </xf>
    <xf numFmtId="49" fontId="33" fillId="0" borderId="0" xfId="11" applyNumberFormat="1" applyFont="1" applyAlignment="1">
      <alignment horizontal="left" vertical="top" wrapText="1"/>
    </xf>
    <xf numFmtId="0" fontId="32" fillId="0" borderId="0" xfId="1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11" applyAlignment="1">
      <alignment horizontal="center" vertical="top" wrapText="1"/>
    </xf>
    <xf numFmtId="0" fontId="2" fillId="0" borderId="4" xfId="11" applyBorder="1" applyAlignment="1">
      <alignment horizontal="center" vertical="top"/>
    </xf>
    <xf numFmtId="4" fontId="2" fillId="0" borderId="4" xfId="11" applyNumberFormat="1" applyBorder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4" fontId="11" fillId="0" borderId="4" xfId="0" applyNumberFormat="1" applyFont="1" applyBorder="1" applyAlignment="1">
      <alignment horizontal="right" vertical="top"/>
    </xf>
    <xf numFmtId="4" fontId="11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0" xfId="11" applyAlignment="1">
      <alignment horizontal="center" vertical="top"/>
    </xf>
    <xf numFmtId="4" fontId="2" fillId="0" borderId="0" xfId="11" applyNumberFormat="1" applyAlignment="1">
      <alignment horizontal="right" vertical="top"/>
    </xf>
    <xf numFmtId="0" fontId="32" fillId="0" borderId="0" xfId="11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4" fontId="38" fillId="0" borderId="0" xfId="21" applyNumberFormat="1" applyFont="1" applyAlignment="1">
      <alignment horizontal="right" vertical="top" wrapText="1"/>
    </xf>
    <xf numFmtId="4" fontId="2" fillId="0" borderId="0" xfId="11" applyNumberFormat="1" applyAlignment="1">
      <alignment horizontal="center" vertical="top" wrapText="1"/>
    </xf>
    <xf numFmtId="4" fontId="2" fillId="0" borderId="4" xfId="11" applyNumberFormat="1" applyBorder="1" applyAlignment="1">
      <alignment horizontal="center" vertical="top"/>
    </xf>
    <xf numFmtId="49" fontId="33" fillId="0" borderId="0" xfId="11" applyNumberFormat="1" applyFont="1" applyAlignment="1">
      <alignment horizontal="center" vertical="top" wrapText="1"/>
    </xf>
    <xf numFmtId="4" fontId="11" fillId="0" borderId="4" xfId="0" applyNumberFormat="1" applyFont="1" applyBorder="1" applyAlignment="1">
      <alignment horizontal="center" vertical="top"/>
    </xf>
    <xf numFmtId="4" fontId="11" fillId="0" borderId="1" xfId="0" applyNumberFormat="1" applyFont="1" applyBorder="1" applyAlignment="1">
      <alignment horizontal="center" vertical="top"/>
    </xf>
    <xf numFmtId="4" fontId="2" fillId="0" borderId="0" xfId="11" applyNumberFormat="1" applyAlignment="1">
      <alignment horizontal="center" vertical="top"/>
    </xf>
    <xf numFmtId="4" fontId="32" fillId="0" borderId="0" xfId="11" applyNumberFormat="1" applyFont="1" applyAlignment="1">
      <alignment horizontal="center" vertical="top" wrapText="1"/>
    </xf>
    <xf numFmtId="0" fontId="39" fillId="0" borderId="0" xfId="11" applyFont="1" applyAlignment="1">
      <alignment horizontal="center" vertical="top" wrapText="1"/>
    </xf>
    <xf numFmtId="4" fontId="38" fillId="0" borderId="0" xfId="21" applyNumberFormat="1" applyFont="1" applyAlignment="1">
      <alignment horizontal="center" vertical="top" wrapText="1"/>
    </xf>
    <xf numFmtId="4" fontId="0" fillId="0" borderId="0" xfId="0" applyNumberFormat="1" applyAlignment="1">
      <alignment horizontal="right" vertical="top"/>
    </xf>
    <xf numFmtId="4" fontId="40" fillId="0" borderId="0" xfId="11" applyNumberFormat="1" applyFont="1" applyAlignment="1">
      <alignment horizontal="right" vertical="top"/>
    </xf>
    <xf numFmtId="4" fontId="2" fillId="0" borderId="5" xfId="11" applyNumberFormat="1" applyBorder="1" applyAlignment="1">
      <alignment horizontal="right" vertical="top"/>
    </xf>
    <xf numFmtId="4" fontId="17" fillId="0" borderId="8" xfId="11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/>
    </xf>
    <xf numFmtId="4" fontId="11" fillId="0" borderId="7" xfId="0" applyNumberFormat="1" applyFont="1" applyBorder="1" applyAlignment="1">
      <alignment horizontal="center" vertical="top"/>
    </xf>
    <xf numFmtId="4" fontId="11" fillId="0" borderId="7" xfId="0" applyNumberFormat="1" applyFont="1" applyBorder="1" applyAlignment="1">
      <alignment horizontal="right" vertical="top"/>
    </xf>
    <xf numFmtId="0" fontId="17" fillId="0" borderId="15" xfId="11" applyFont="1" applyBorder="1" applyAlignment="1">
      <alignment vertical="top" wrapText="1"/>
    </xf>
    <xf numFmtId="0" fontId="2" fillId="0" borderId="2" xfId="11" applyBorder="1" applyAlignment="1">
      <alignment horizontal="left" vertical="top" wrapText="1"/>
    </xf>
    <xf numFmtId="0" fontId="2" fillId="0" borderId="2" xfId="11" applyBorder="1" applyAlignment="1">
      <alignment horizontal="center" vertical="top"/>
    </xf>
    <xf numFmtId="4" fontId="2" fillId="0" borderId="2" xfId="11" applyNumberFormat="1" applyBorder="1" applyAlignment="1">
      <alignment horizontal="center" vertical="top"/>
    </xf>
    <xf numFmtId="4" fontId="2" fillId="0" borderId="2" xfId="11" applyNumberFormat="1" applyBorder="1" applyAlignment="1">
      <alignment horizontal="right" vertical="top"/>
    </xf>
    <xf numFmtId="4" fontId="2" fillId="0" borderId="3" xfId="11" applyNumberFormat="1" applyBorder="1" applyAlignment="1">
      <alignment horizontal="right" vertical="top"/>
    </xf>
    <xf numFmtId="0" fontId="15" fillId="0" borderId="7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/>
    </xf>
    <xf numFmtId="0" fontId="21" fillId="0" borderId="62" xfId="0" applyFont="1" applyBorder="1" applyAlignment="1">
      <alignment horizontal="right" vertical="top" wrapText="1"/>
    </xf>
    <xf numFmtId="4" fontId="11" fillId="0" borderId="63" xfId="0" applyNumberFormat="1" applyFont="1" applyBorder="1" applyAlignment="1">
      <alignment horizontal="right" vertical="top"/>
    </xf>
    <xf numFmtId="0" fontId="21" fillId="0" borderId="64" xfId="0" applyFont="1" applyBorder="1" applyAlignment="1">
      <alignment horizontal="right" vertical="top" wrapText="1"/>
    </xf>
    <xf numFmtId="4" fontId="11" fillId="0" borderId="65" xfId="0" applyNumberFormat="1" applyFont="1" applyBorder="1" applyAlignment="1">
      <alignment horizontal="right" vertical="top"/>
    </xf>
    <xf numFmtId="0" fontId="21" fillId="0" borderId="66" xfId="0" applyFont="1" applyBorder="1" applyAlignment="1">
      <alignment horizontal="right" vertical="top" wrapText="1"/>
    </xf>
    <xf numFmtId="4" fontId="11" fillId="0" borderId="67" xfId="0" applyNumberFormat="1" applyFont="1" applyBorder="1" applyAlignment="1">
      <alignment horizontal="right" vertical="top"/>
    </xf>
    <xf numFmtId="0" fontId="17" fillId="0" borderId="2" xfId="11" applyFont="1" applyBorder="1" applyAlignment="1">
      <alignment horizontal="right" vertical="top" wrapText="1"/>
    </xf>
    <xf numFmtId="0" fontId="17" fillId="0" borderId="4" xfId="11" applyFont="1" applyBorder="1" applyAlignment="1">
      <alignment horizontal="right" vertical="top" wrapText="1"/>
    </xf>
    <xf numFmtId="0" fontId="21" fillId="0" borderId="2" xfId="0" applyFont="1" applyBorder="1" applyAlignment="1">
      <alignment horizontal="right" vertical="top" wrapText="1"/>
    </xf>
    <xf numFmtId="0" fontId="17" fillId="0" borderId="1" xfId="0" applyFont="1" applyBorder="1" applyAlignment="1">
      <alignment horizontal="right" vertical="top" wrapText="1"/>
    </xf>
    <xf numFmtId="0" fontId="21" fillId="0" borderId="4" xfId="0" applyFont="1" applyBorder="1" applyAlignment="1">
      <alignment horizontal="right" vertical="top" wrapText="1"/>
    </xf>
    <xf numFmtId="0" fontId="4" fillId="0" borderId="0" xfId="0" applyFont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/>
    </xf>
    <xf numFmtId="0" fontId="4" fillId="7" borderId="45" xfId="0" applyFont="1" applyFill="1" applyBorder="1" applyAlignment="1">
      <alignment horizontal="center" vertical="center"/>
    </xf>
    <xf numFmtId="0" fontId="15" fillId="7" borderId="11" xfId="0" applyFont="1" applyFill="1" applyBorder="1"/>
    <xf numFmtId="0" fontId="4" fillId="7" borderId="12" xfId="0" applyFont="1" applyFill="1" applyBorder="1" applyAlignment="1">
      <alignment horizontal="right" wrapText="1" indent="1"/>
    </xf>
    <xf numFmtId="4" fontId="4" fillId="7" borderId="13" xfId="0" applyNumberFormat="1" applyFont="1" applyFill="1" applyBorder="1" applyAlignment="1">
      <alignment horizontal="right" indent="1"/>
    </xf>
    <xf numFmtId="0" fontId="15" fillId="0" borderId="4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top"/>
    </xf>
    <xf numFmtId="0" fontId="15" fillId="7" borderId="11" xfId="0" applyFont="1" applyFill="1" applyBorder="1" applyAlignment="1">
      <alignment vertical="center"/>
    </xf>
    <xf numFmtId="0" fontId="4" fillId="7" borderId="12" xfId="0" applyFont="1" applyFill="1" applyBorder="1" applyAlignment="1">
      <alignment horizontal="right" vertical="center" wrapText="1"/>
    </xf>
    <xf numFmtId="4" fontId="4" fillId="7" borderId="13" xfId="0" applyNumberFormat="1" applyFont="1" applyFill="1" applyBorder="1" applyAlignment="1">
      <alignment horizontal="right" vertical="center"/>
    </xf>
    <xf numFmtId="0" fontId="15" fillId="0" borderId="4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 wrapText="1"/>
    </xf>
    <xf numFmtId="4" fontId="15" fillId="0" borderId="48" xfId="0" applyNumberFormat="1" applyFont="1" applyBorder="1" applyAlignment="1">
      <alignment horizontal="right" vertical="center"/>
    </xf>
    <xf numFmtId="4" fontId="15" fillId="0" borderId="38" xfId="0" applyNumberFormat="1" applyFont="1" applyBorder="1" applyAlignment="1">
      <alignment horizontal="right" vertical="center"/>
    </xf>
    <xf numFmtId="4" fontId="15" fillId="0" borderId="50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4" fontId="4" fillId="7" borderId="13" xfId="0" applyNumberFormat="1" applyFont="1" applyFill="1" applyBorder="1" applyAlignment="1">
      <alignment horizontal="right" vertical="center" indent="1"/>
    </xf>
    <xf numFmtId="0" fontId="15" fillId="0" borderId="51" xfId="0" applyFont="1" applyBorder="1" applyAlignment="1">
      <alignment horizontal="center" vertical="center" wrapText="1"/>
    </xf>
    <xf numFmtId="4" fontId="15" fillId="0" borderId="52" xfId="0" applyNumberFormat="1" applyFont="1" applyBorder="1" applyAlignment="1">
      <alignment horizontal="right" vertical="center"/>
    </xf>
    <xf numFmtId="1" fontId="31" fillId="0" borderId="0" xfId="11" applyNumberFormat="1" applyFont="1" applyAlignment="1">
      <alignment horizontal="center" vertical="center" wrapText="1"/>
    </xf>
    <xf numFmtId="0" fontId="15" fillId="5" borderId="46" xfId="0" applyFont="1" applyFill="1" applyBorder="1" applyAlignment="1">
      <alignment horizontal="center" vertical="center"/>
    </xf>
    <xf numFmtId="0" fontId="15" fillId="5" borderId="51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2" fillId="0" borderId="46" xfId="0" applyFont="1" applyBorder="1"/>
    <xf numFmtId="4" fontId="12" fillId="0" borderId="48" xfId="0" applyNumberFormat="1" applyFont="1" applyBorder="1"/>
    <xf numFmtId="0" fontId="12" fillId="0" borderId="49" xfId="0" applyFont="1" applyBorder="1"/>
    <xf numFmtId="4" fontId="12" fillId="0" borderId="50" xfId="0" applyNumberFormat="1" applyFont="1" applyBorder="1"/>
    <xf numFmtId="4" fontId="17" fillId="7" borderId="13" xfId="11" applyNumberFormat="1" applyFont="1" applyFill="1" applyBorder="1" applyAlignment="1">
      <alignment horizontal="right" vertical="center" wrapText="1"/>
    </xf>
    <xf numFmtId="4" fontId="32" fillId="0" borderId="0" xfId="11" applyNumberFormat="1" applyFont="1" applyAlignment="1">
      <alignment vertical="center"/>
    </xf>
    <xf numFmtId="0" fontId="32" fillId="0" borderId="0" xfId="11" applyFont="1" applyAlignment="1">
      <alignment vertical="center"/>
    </xf>
    <xf numFmtId="4" fontId="60" fillId="0" borderId="13" xfId="11" applyNumberFormat="1" applyFont="1" applyBorder="1" applyAlignment="1">
      <alignment horizontal="right" vertical="center" wrapText="1"/>
    </xf>
    <xf numFmtId="0" fontId="32" fillId="0" borderId="0" xfId="11" applyFont="1" applyAlignment="1">
      <alignment vertical="center" wrapText="1"/>
    </xf>
    <xf numFmtId="0" fontId="4" fillId="7" borderId="54" xfId="0" applyFont="1" applyFill="1" applyBorder="1" applyAlignment="1">
      <alignment horizontal="center" vertical="center"/>
    </xf>
    <xf numFmtId="0" fontId="15" fillId="7" borderId="29" xfId="0" applyFont="1" applyFill="1" applyBorder="1" applyAlignment="1">
      <alignment horizontal="right" vertical="center"/>
    </xf>
    <xf numFmtId="0" fontId="15" fillId="7" borderId="29" xfId="0" applyFont="1" applyFill="1" applyBorder="1" applyAlignment="1">
      <alignment vertical="center" wrapText="1"/>
    </xf>
    <xf numFmtId="4" fontId="4" fillId="7" borderId="29" xfId="0" applyNumberFormat="1" applyFont="1" applyFill="1" applyBorder="1" applyAlignment="1">
      <alignment horizontal="center" vertical="center"/>
    </xf>
    <xf numFmtId="2" fontId="4" fillId="7" borderId="29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vertical="center" wrapText="1"/>
    </xf>
    <xf numFmtId="2" fontId="15" fillId="7" borderId="12" xfId="0" applyNumberFormat="1" applyFont="1" applyFill="1" applyBorder="1" applyAlignment="1">
      <alignment horizontal="center" vertical="center"/>
    </xf>
    <xf numFmtId="0" fontId="15" fillId="7" borderId="12" xfId="0" applyFont="1" applyFill="1" applyBorder="1" applyAlignment="1">
      <alignment horizontal="right" vertical="center"/>
    </xf>
    <xf numFmtId="0" fontId="15" fillId="7" borderId="13" xfId="0" applyFont="1" applyFill="1" applyBorder="1" applyAlignment="1">
      <alignment horizontal="right" vertical="center"/>
    </xf>
    <xf numFmtId="0" fontId="15" fillId="7" borderId="12" xfId="0" applyFont="1" applyFill="1" applyBorder="1" applyAlignment="1">
      <alignment vertical="center" wrapText="1"/>
    </xf>
    <xf numFmtId="0" fontId="4" fillId="7" borderId="12" xfId="0" applyFont="1" applyFill="1" applyBorder="1" applyAlignment="1">
      <alignment horizontal="center" vertical="center"/>
    </xf>
    <xf numFmtId="4" fontId="4" fillId="7" borderId="12" xfId="0" applyNumberFormat="1" applyFont="1" applyFill="1" applyBorder="1" applyAlignment="1">
      <alignment horizontal="right" vertical="center"/>
    </xf>
    <xf numFmtId="4" fontId="4" fillId="7" borderId="12" xfId="0" applyNumberFormat="1" applyFont="1" applyFill="1" applyBorder="1" applyAlignment="1">
      <alignment horizontal="center" vertical="center"/>
    </xf>
    <xf numFmtId="2" fontId="4" fillId="7" borderId="12" xfId="0" applyNumberFormat="1" applyFont="1" applyFill="1" applyBorder="1" applyAlignment="1">
      <alignment horizontal="center" vertical="center"/>
    </xf>
    <xf numFmtId="4" fontId="15" fillId="7" borderId="12" xfId="0" applyNumberFormat="1" applyFont="1" applyFill="1" applyBorder="1" applyAlignment="1">
      <alignment horizontal="right" vertical="center"/>
    </xf>
    <xf numFmtId="164" fontId="2" fillId="7" borderId="12" xfId="1" applyFill="1" applyBorder="1" applyAlignment="1">
      <alignment horizontal="right" vertical="center" wrapText="1"/>
    </xf>
    <xf numFmtId="0" fontId="33" fillId="0" borderId="0" xfId="2" applyFont="1" applyAlignment="1">
      <alignment vertical="center" wrapText="1"/>
    </xf>
    <xf numFmtId="0" fontId="4" fillId="7" borderId="43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vertical="center" wrapText="1"/>
    </xf>
    <xf numFmtId="0" fontId="15" fillId="7" borderId="25" xfId="0" applyFont="1" applyFill="1" applyBorder="1" applyAlignment="1">
      <alignment horizontal="center" vertical="center"/>
    </xf>
    <xf numFmtId="2" fontId="15" fillId="7" borderId="25" xfId="0" applyNumberFormat="1" applyFont="1" applyFill="1" applyBorder="1" applyAlignment="1">
      <alignment horizontal="center" vertical="center"/>
    </xf>
    <xf numFmtId="4" fontId="15" fillId="7" borderId="25" xfId="0" applyNumberFormat="1" applyFont="1" applyFill="1" applyBorder="1" applyAlignment="1">
      <alignment horizontal="right" vertical="center"/>
    </xf>
    <xf numFmtId="4" fontId="15" fillId="7" borderId="26" xfId="0" applyNumberFormat="1" applyFont="1" applyFill="1" applyBorder="1" applyAlignment="1">
      <alignment horizontal="right" vertical="center"/>
    </xf>
    <xf numFmtId="0" fontId="4" fillId="7" borderId="40" xfId="0" applyFont="1" applyFill="1" applyBorder="1" applyAlignment="1">
      <alignment horizontal="center" vertical="center" wrapText="1"/>
    </xf>
    <xf numFmtId="2" fontId="4" fillId="7" borderId="41" xfId="0" applyNumberFormat="1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right" vertical="center" wrapText="1"/>
    </xf>
    <xf numFmtId="0" fontId="4" fillId="7" borderId="42" xfId="0" applyFont="1" applyFill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vertical="center"/>
    </xf>
    <xf numFmtId="0" fontId="4" fillId="7" borderId="57" xfId="0" applyFont="1" applyFill="1" applyBorder="1" applyAlignment="1">
      <alignment horizontal="center" vertical="center" wrapText="1"/>
    </xf>
    <xf numFmtId="0" fontId="4" fillId="7" borderId="56" xfId="0" applyFont="1" applyFill="1" applyBorder="1" applyAlignment="1">
      <alignment horizontal="center" vertical="center" wrapText="1"/>
    </xf>
    <xf numFmtId="0" fontId="4" fillId="7" borderId="56" xfId="0" applyFont="1" applyFill="1" applyBorder="1" applyAlignment="1">
      <alignment horizontal="center" vertical="center"/>
    </xf>
    <xf numFmtId="0" fontId="4" fillId="7" borderId="55" xfId="0" applyFont="1" applyFill="1" applyBorder="1" applyAlignment="1">
      <alignment horizontal="right" vertical="center"/>
    </xf>
    <xf numFmtId="0" fontId="4" fillId="7" borderId="12" xfId="0" applyFont="1" applyFill="1" applyBorder="1" applyAlignment="1">
      <alignment horizontal="left" vertical="center"/>
    </xf>
    <xf numFmtId="4" fontId="15" fillId="7" borderId="13" xfId="0" applyNumberFormat="1" applyFont="1" applyFill="1" applyBorder="1" applyAlignment="1">
      <alignment horizontal="right" vertical="center"/>
    </xf>
    <xf numFmtId="0" fontId="4" fillId="7" borderId="58" xfId="0" applyFont="1" applyFill="1" applyBorder="1" applyAlignment="1">
      <alignment horizontal="center" vertical="center"/>
    </xf>
    <xf numFmtId="164" fontId="2" fillId="7" borderId="59" xfId="1" applyFill="1" applyBorder="1" applyAlignment="1">
      <alignment horizontal="right" vertical="center" wrapText="1"/>
    </xf>
    <xf numFmtId="164" fontId="2" fillId="7" borderId="59" xfId="1" applyFill="1" applyBorder="1" applyAlignment="1">
      <alignment horizontal="left" vertical="center" wrapText="1"/>
    </xf>
    <xf numFmtId="0" fontId="15" fillId="7" borderId="59" xfId="0" applyFont="1" applyFill="1" applyBorder="1" applyAlignment="1">
      <alignment horizontal="center" vertical="center"/>
    </xf>
    <xf numFmtId="4" fontId="4" fillId="7" borderId="59" xfId="0" applyNumberFormat="1" applyFont="1" applyFill="1" applyBorder="1" applyAlignment="1">
      <alignment horizontal="center" vertical="center"/>
    </xf>
    <xf numFmtId="4" fontId="4" fillId="7" borderId="59" xfId="0" applyNumberFormat="1" applyFont="1" applyFill="1" applyBorder="1" applyAlignment="1">
      <alignment horizontal="right" vertical="center"/>
    </xf>
    <xf numFmtId="4" fontId="4" fillId="7" borderId="39" xfId="0" applyNumberFormat="1" applyFont="1" applyFill="1" applyBorder="1" applyAlignment="1">
      <alignment horizontal="right" vertical="center"/>
    </xf>
    <xf numFmtId="0" fontId="15" fillId="7" borderId="12" xfId="0" applyFont="1" applyFill="1" applyBorder="1" applyAlignment="1">
      <alignment horizontal="left" vertical="center"/>
    </xf>
    <xf numFmtId="0" fontId="15" fillId="7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right" vertical="center"/>
    </xf>
    <xf numFmtId="0" fontId="34" fillId="0" borderId="0" xfId="11" applyFont="1" applyAlignment="1">
      <alignment horizontal="center" vertical="center" wrapText="1"/>
    </xf>
    <xf numFmtId="4" fontId="2" fillId="0" borderId="52" xfId="0" applyNumberFormat="1" applyFont="1" applyBorder="1" applyAlignment="1">
      <alignment horizontal="right" vertical="top"/>
    </xf>
    <xf numFmtId="4" fontId="17" fillId="0" borderId="13" xfId="0" applyNumberFormat="1" applyFont="1" applyBorder="1" applyAlignment="1">
      <alignment horizontal="right" vertical="center"/>
    </xf>
    <xf numFmtId="4" fontId="4" fillId="0" borderId="29" xfId="0" applyNumberFormat="1" applyFont="1" applyBorder="1" applyAlignment="1">
      <alignment horizontal="right" vertical="center"/>
    </xf>
    <xf numFmtId="4" fontId="4" fillId="0" borderId="55" xfId="0" applyNumberFormat="1" applyFont="1" applyBorder="1" applyAlignment="1">
      <alignment horizontal="right" vertical="center"/>
    </xf>
    <xf numFmtId="4" fontId="4" fillId="0" borderId="12" xfId="0" applyNumberFormat="1" applyFont="1" applyBorder="1" applyAlignment="1">
      <alignment horizontal="right" vertical="center"/>
    </xf>
    <xf numFmtId="4" fontId="4" fillId="0" borderId="13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top"/>
    </xf>
    <xf numFmtId="0" fontId="15" fillId="0" borderId="33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31" xfId="0" applyFont="1" applyBorder="1" applyAlignment="1">
      <alignment horizontal="left" vertical="top" wrapText="1"/>
    </xf>
    <xf numFmtId="0" fontId="15" fillId="0" borderId="37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34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 wrapText="1"/>
    </xf>
    <xf numFmtId="4" fontId="12" fillId="0" borderId="12" xfId="0" applyNumberFormat="1" applyFont="1" applyBorder="1" applyAlignment="1">
      <alignment vertical="center"/>
    </xf>
    <xf numFmtId="4" fontId="12" fillId="0" borderId="13" xfId="0" applyNumberFormat="1" applyFont="1" applyBorder="1" applyAlignment="1">
      <alignment vertical="center"/>
    </xf>
    <xf numFmtId="0" fontId="15" fillId="2" borderId="3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15" fillId="5" borderId="17" xfId="0" applyFont="1" applyFill="1" applyBorder="1" applyAlignment="1">
      <alignment horizontal="center" wrapText="1"/>
    </xf>
    <xf numFmtId="2" fontId="12" fillId="0" borderId="11" xfId="0" applyNumberFormat="1" applyFont="1" applyBorder="1" applyAlignment="1">
      <alignment horizontal="right" vertical="center"/>
    </xf>
    <xf numFmtId="2" fontId="12" fillId="0" borderId="1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" fontId="21" fillId="0" borderId="12" xfId="0" applyNumberFormat="1" applyFont="1" applyBorder="1" applyAlignment="1">
      <alignment horizontal="right" vertical="center"/>
    </xf>
    <xf numFmtId="4" fontId="21" fillId="0" borderId="13" xfId="0" applyNumberFormat="1" applyFont="1" applyBorder="1" applyAlignment="1">
      <alignment horizontal="right" vertical="center"/>
    </xf>
    <xf numFmtId="0" fontId="15" fillId="0" borderId="17" xfId="0" applyFont="1" applyBorder="1" applyAlignment="1">
      <alignment horizontal="center"/>
    </xf>
    <xf numFmtId="0" fontId="15" fillId="0" borderId="24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" fontId="30" fillId="0" borderId="0" xfId="11" applyNumberFormat="1" applyFont="1" applyAlignment="1">
      <alignment horizontal="center" vertical="top"/>
    </xf>
    <xf numFmtId="0" fontId="2" fillId="7" borderId="12" xfId="11" applyFill="1" applyBorder="1" applyAlignment="1">
      <alignment horizontal="center" wrapText="1"/>
    </xf>
    <xf numFmtId="0" fontId="2" fillId="7" borderId="13" xfId="11" applyFill="1" applyBorder="1" applyAlignment="1">
      <alignment horizontal="center" wrapText="1"/>
    </xf>
    <xf numFmtId="49" fontId="33" fillId="7" borderId="11" xfId="11" applyNumberFormat="1" applyFont="1" applyFill="1" applyBorder="1" applyAlignment="1">
      <alignment horizontal="right" vertical="center" wrapText="1"/>
    </xf>
    <xf numFmtId="49" fontId="33" fillId="7" borderId="12" xfId="11" applyNumberFormat="1" applyFont="1" applyFill="1" applyBorder="1" applyAlignment="1">
      <alignment horizontal="right" vertical="center" wrapText="1"/>
    </xf>
    <xf numFmtId="0" fontId="17" fillId="7" borderId="12" xfId="11" applyFont="1" applyFill="1" applyBorder="1" applyAlignment="1">
      <alignment horizontal="center" wrapText="1"/>
    </xf>
    <xf numFmtId="0" fontId="17" fillId="7" borderId="13" xfId="11" applyFont="1" applyFill="1" applyBorder="1" applyAlignment="1">
      <alignment horizontal="center" wrapText="1"/>
    </xf>
    <xf numFmtId="0" fontId="17" fillId="7" borderId="11" xfId="11" applyFont="1" applyFill="1" applyBorder="1" applyAlignment="1">
      <alignment horizontal="left" vertical="center" wrapText="1"/>
    </xf>
    <xf numFmtId="0" fontId="17" fillId="7" borderId="12" xfId="11" applyFont="1" applyFill="1" applyBorder="1" applyAlignment="1">
      <alignment horizontal="left" vertical="center" wrapText="1"/>
    </xf>
    <xf numFmtId="49" fontId="60" fillId="0" borderId="11" xfId="11" applyNumberFormat="1" applyFont="1" applyBorder="1" applyAlignment="1">
      <alignment horizontal="right" vertical="center" wrapText="1"/>
    </xf>
    <xf numFmtId="49" fontId="60" fillId="0" borderId="12" xfId="11" applyNumberFormat="1" applyFont="1" applyBorder="1" applyAlignment="1">
      <alignment horizontal="right" vertical="center" wrapText="1"/>
    </xf>
    <xf numFmtId="0" fontId="39" fillId="0" borderId="0" xfId="11" applyFont="1" applyAlignment="1">
      <alignment horizontal="right" wrapText="1"/>
    </xf>
    <xf numFmtId="4" fontId="38" fillId="0" borderId="0" xfId="21" applyNumberFormat="1" applyFont="1" applyAlignment="1">
      <alignment horizontal="right" wrapText="1"/>
    </xf>
    <xf numFmtId="0" fontId="56" fillId="0" borderId="0" xfId="11" applyFont="1" applyAlignment="1">
      <alignment horizontal="left"/>
    </xf>
    <xf numFmtId="0" fontId="12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1" fontId="30" fillId="7" borderId="11" xfId="11" applyNumberFormat="1" applyFont="1" applyFill="1" applyBorder="1" applyAlignment="1">
      <alignment horizontal="center" vertical="center"/>
    </xf>
    <xf numFmtId="1" fontId="30" fillId="7" borderId="12" xfId="11" applyNumberFormat="1" applyFont="1" applyFill="1" applyBorder="1" applyAlignment="1">
      <alignment horizontal="center" vertical="center"/>
    </xf>
    <xf numFmtId="1" fontId="30" fillId="7" borderId="13" xfId="11" applyNumberFormat="1" applyFont="1" applyFill="1" applyBorder="1" applyAlignment="1">
      <alignment horizontal="center" vertical="center"/>
    </xf>
    <xf numFmtId="0" fontId="61" fillId="0" borderId="0" xfId="0" applyFont="1" applyAlignment="1">
      <alignment horizontal="center" vertical="center"/>
    </xf>
  </cellXfs>
  <cellStyles count="40">
    <cellStyle name="BROJ" xfId="4" xr:uid="{00000000-0005-0000-0000-000000000000}"/>
    <cellStyle name="Comma" xfId="1" builtinId="3"/>
    <cellStyle name="Comma 2" xfId="5" xr:uid="{00000000-0005-0000-0000-000002000000}"/>
    <cellStyle name="Comma 3" xfId="35" xr:uid="{00000000-0005-0000-0000-000003000000}"/>
    <cellStyle name="Heading" xfId="30" xr:uid="{00000000-0005-0000-0000-000004000000}"/>
    <cellStyle name="Heading1" xfId="31" xr:uid="{00000000-0005-0000-0000-000005000000}"/>
    <cellStyle name="IZNOS" xfId="6" xr:uid="{00000000-0005-0000-0000-000006000000}"/>
    <cellStyle name="JED_MERE" xfId="7" xr:uid="{00000000-0005-0000-0000-000007000000}"/>
    <cellStyle name="KOLICINA" xfId="8" xr:uid="{00000000-0005-0000-0000-000008000000}"/>
    <cellStyle name="NASLOV" xfId="9" xr:uid="{00000000-0005-0000-0000-000009000000}"/>
    <cellStyle name="Normal" xfId="0" builtinId="0"/>
    <cellStyle name="Normal 2" xfId="2" xr:uid="{00000000-0005-0000-0000-00000B000000}"/>
    <cellStyle name="Normal 2 2" xfId="10" xr:uid="{00000000-0005-0000-0000-00000C000000}"/>
    <cellStyle name="Normal 2 2 2" xfId="11" xr:uid="{00000000-0005-0000-0000-00000D000000}"/>
    <cellStyle name="Normal 2 3" xfId="12" xr:uid="{00000000-0005-0000-0000-00000E000000}"/>
    <cellStyle name="Normal 2 4" xfId="13" xr:uid="{00000000-0005-0000-0000-00000F000000}"/>
    <cellStyle name="Normal 2 5" xfId="14" xr:uid="{00000000-0005-0000-0000-000010000000}"/>
    <cellStyle name="Normal 2 6" xfId="34" xr:uid="{00000000-0005-0000-0000-000011000000}"/>
    <cellStyle name="Normal 3" xfId="15" xr:uid="{00000000-0005-0000-0000-000012000000}"/>
    <cellStyle name="Normal 3 2" xfId="16" xr:uid="{00000000-0005-0000-0000-000013000000}"/>
    <cellStyle name="Normal 3 2 2" xfId="37" xr:uid="{00000000-0005-0000-0000-000014000000}"/>
    <cellStyle name="Normal 3 3" xfId="17" xr:uid="{00000000-0005-0000-0000-000015000000}"/>
    <cellStyle name="Normal 4" xfId="18" xr:uid="{00000000-0005-0000-0000-000016000000}"/>
    <cellStyle name="Normal 5" xfId="19" xr:uid="{00000000-0005-0000-0000-000017000000}"/>
    <cellStyle name="Normal 5 2" xfId="38" xr:uid="{00000000-0005-0000-0000-000018000000}"/>
    <cellStyle name="Normal 6" xfId="20" xr:uid="{00000000-0005-0000-0000-000019000000}"/>
    <cellStyle name="Normal 6 2" xfId="39" xr:uid="{00000000-0005-0000-0000-00001A000000}"/>
    <cellStyle name="Normal 7" xfId="29" xr:uid="{00000000-0005-0000-0000-00001B000000}"/>
    <cellStyle name="Normal_mira115" xfId="21" xr:uid="{00000000-0005-0000-0000-00001C000000}"/>
    <cellStyle name="Normalan 2" xfId="36" xr:uid="{00000000-0005-0000-0000-00001D000000}"/>
    <cellStyle name="Note 2" xfId="22" xr:uid="{00000000-0005-0000-0000-00001E000000}"/>
    <cellStyle name="Percent 2" xfId="23" xr:uid="{00000000-0005-0000-0000-00001F000000}"/>
    <cellStyle name="Result" xfId="32" xr:uid="{00000000-0005-0000-0000-000020000000}"/>
    <cellStyle name="Result2" xfId="33" xr:uid="{00000000-0005-0000-0000-000021000000}"/>
    <cellStyle name="Style 1" xfId="24" xr:uid="{00000000-0005-0000-0000-000022000000}"/>
    <cellStyle name="TEXT" xfId="25" xr:uid="{00000000-0005-0000-0000-000023000000}"/>
    <cellStyle name="ZAGLAVLJE" xfId="26" xr:uid="{00000000-0005-0000-0000-000024000000}"/>
    <cellStyle name="ZAGLAVLJE1" xfId="27" xr:uid="{00000000-0005-0000-0000-000025000000}"/>
    <cellStyle name="ZAGLAVLJE2" xfId="3" xr:uid="{00000000-0005-0000-0000-000026000000}"/>
    <cellStyle name="ZAGLAVLJE2 2" xfId="28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03"/>
  <sheetViews>
    <sheetView tabSelected="1" view="pageBreakPreview" topLeftCell="A162" zoomScale="130" zoomScaleNormal="115" zoomScaleSheetLayoutView="130" workbookViewId="0">
      <selection activeCell="G170" sqref="G170"/>
    </sheetView>
  </sheetViews>
  <sheetFormatPr defaultRowHeight="15"/>
  <cols>
    <col min="1" max="1" width="4.42578125" style="61" customWidth="1"/>
    <col min="2" max="2" width="6.7109375" style="107" customWidth="1"/>
    <col min="3" max="3" width="35.28515625" style="75" customWidth="1"/>
    <col min="4" max="4" width="5.7109375" style="61" customWidth="1"/>
    <col min="5" max="5" width="9.5703125" style="96" customWidth="1"/>
    <col min="6" max="6" width="11" style="107" customWidth="1"/>
    <col min="7" max="7" width="15" style="107" customWidth="1"/>
    <col min="8" max="8" width="24.85546875" customWidth="1"/>
    <col min="9" max="9" width="11.85546875" customWidth="1"/>
    <col min="10" max="10" width="7.28515625" customWidth="1"/>
    <col min="11" max="11" width="32.7109375" customWidth="1"/>
  </cols>
  <sheetData>
    <row r="1" spans="1:24" ht="15.75">
      <c r="A1" s="402" t="s">
        <v>357</v>
      </c>
      <c r="B1" s="402"/>
      <c r="C1" s="402"/>
      <c r="D1" s="402"/>
      <c r="E1" s="402"/>
      <c r="F1" s="402"/>
      <c r="G1" s="402"/>
    </row>
    <row r="2" spans="1:24" ht="15.75">
      <c r="G2" s="97"/>
    </row>
    <row r="3" spans="1:24" ht="15.75">
      <c r="A3" s="421" t="s">
        <v>366</v>
      </c>
      <c r="B3" s="421"/>
      <c r="C3" s="421"/>
      <c r="D3" s="421"/>
      <c r="E3" s="421"/>
      <c r="F3" s="421"/>
      <c r="G3" s="421"/>
    </row>
    <row r="4" spans="1:24" ht="15.75" thickBot="1">
      <c r="A4" s="59"/>
      <c r="B4" s="159"/>
      <c r="C4" s="62"/>
      <c r="D4" s="60"/>
      <c r="E4" s="89"/>
      <c r="F4" s="98"/>
      <c r="G4" s="98"/>
    </row>
    <row r="5" spans="1:24" s="2" customFormat="1" ht="26.25" thickBot="1">
      <c r="A5" s="372" t="s">
        <v>6</v>
      </c>
      <c r="B5" s="137" t="s">
        <v>7</v>
      </c>
      <c r="C5" s="137" t="s">
        <v>8</v>
      </c>
      <c r="D5" s="137" t="s">
        <v>9</v>
      </c>
      <c r="E5" s="373" t="s">
        <v>10</v>
      </c>
      <c r="F5" s="374" t="s">
        <v>11</v>
      </c>
      <c r="G5" s="375" t="s">
        <v>372</v>
      </c>
      <c r="L5" s="3"/>
      <c r="M5" s="3"/>
    </row>
    <row r="6" spans="1:24" s="2" customFormat="1" ht="15.75" thickBot="1">
      <c r="A6" s="366"/>
      <c r="B6" s="138" t="s">
        <v>12</v>
      </c>
      <c r="C6" s="367" t="s">
        <v>13</v>
      </c>
      <c r="D6" s="368"/>
      <c r="E6" s="369"/>
      <c r="F6" s="370"/>
      <c r="G6" s="371"/>
      <c r="Q6" s="1"/>
      <c r="R6" s="1"/>
      <c r="S6" s="1"/>
      <c r="T6" s="1"/>
      <c r="U6" s="1"/>
      <c r="V6" s="1"/>
      <c r="W6" s="1"/>
      <c r="X6" s="1"/>
    </row>
    <row r="7" spans="1:24" ht="25.5">
      <c r="A7" s="119">
        <v>1</v>
      </c>
      <c r="B7" s="153"/>
      <c r="C7" s="120" t="s">
        <v>296</v>
      </c>
      <c r="D7" s="121"/>
      <c r="E7" s="122"/>
      <c r="F7" s="123"/>
      <c r="G7" s="124"/>
      <c r="Q7" s="1"/>
      <c r="R7" s="1"/>
      <c r="S7" s="1"/>
      <c r="T7" s="1"/>
      <c r="U7" s="1"/>
      <c r="V7" s="1"/>
      <c r="W7" s="1"/>
      <c r="X7" s="1"/>
    </row>
    <row r="8" spans="1:24" ht="73.5" customHeight="1">
      <c r="A8" s="125"/>
      <c r="B8" s="47"/>
      <c r="C8" s="63" t="s">
        <v>367</v>
      </c>
      <c r="D8" s="57"/>
      <c r="E8" s="86"/>
      <c r="F8" s="100"/>
      <c r="G8" s="126"/>
      <c r="Q8" s="1"/>
      <c r="R8" s="1"/>
      <c r="S8" s="1"/>
      <c r="T8" s="1"/>
      <c r="U8" s="1"/>
      <c r="V8" s="1"/>
      <c r="W8" s="1"/>
      <c r="X8" s="1"/>
    </row>
    <row r="9" spans="1:24" ht="38.25">
      <c r="A9" s="125"/>
      <c r="B9" s="47"/>
      <c r="C9" s="63" t="s">
        <v>297</v>
      </c>
      <c r="D9" s="57"/>
      <c r="E9" s="86"/>
      <c r="F9" s="100"/>
      <c r="G9" s="126"/>
      <c r="Q9" s="1"/>
      <c r="R9" s="1"/>
      <c r="S9" s="1"/>
      <c r="T9" s="1"/>
      <c r="U9" s="1"/>
      <c r="V9" s="1"/>
      <c r="W9" s="1"/>
      <c r="X9" s="1"/>
    </row>
    <row r="10" spans="1:24">
      <c r="A10" s="125"/>
      <c r="B10" s="47"/>
      <c r="C10" s="54" t="s">
        <v>15</v>
      </c>
      <c r="D10" s="57" t="s">
        <v>16</v>
      </c>
      <c r="E10" s="86"/>
      <c r="F10" s="100"/>
      <c r="G10" s="126"/>
      <c r="Q10" s="1"/>
      <c r="R10" s="1"/>
      <c r="S10" s="1"/>
      <c r="T10" s="1"/>
      <c r="U10" s="1"/>
      <c r="V10" s="1"/>
      <c r="W10" s="1"/>
      <c r="X10" s="1"/>
    </row>
    <row r="11" spans="1:24" ht="21" customHeight="1">
      <c r="A11" s="125">
        <v>2</v>
      </c>
      <c r="B11" s="47">
        <v>101</v>
      </c>
      <c r="C11" s="52" t="s">
        <v>14</v>
      </c>
      <c r="D11" s="57"/>
      <c r="E11" s="86"/>
      <c r="F11" s="100"/>
      <c r="G11" s="126"/>
      <c r="K11" s="5"/>
      <c r="L11" s="6"/>
    </row>
    <row r="12" spans="1:24" ht="94.5" customHeight="1">
      <c r="A12" s="125"/>
      <c r="B12" s="47"/>
      <c r="C12" s="64" t="s">
        <v>373</v>
      </c>
      <c r="D12" s="57"/>
      <c r="E12" s="86"/>
      <c r="F12" s="100"/>
      <c r="G12" s="126"/>
      <c r="K12" s="5"/>
      <c r="L12" s="6"/>
    </row>
    <row r="13" spans="1:24">
      <c r="A13" s="125"/>
      <c r="B13" s="47"/>
      <c r="C13" s="54" t="s">
        <v>15</v>
      </c>
      <c r="D13" s="57" t="s">
        <v>16</v>
      </c>
      <c r="E13" s="86"/>
      <c r="F13" s="100"/>
      <c r="G13" s="126"/>
      <c r="K13" s="5"/>
      <c r="L13" s="6"/>
    </row>
    <row r="14" spans="1:24">
      <c r="A14" s="125"/>
      <c r="B14" s="47" t="s">
        <v>17</v>
      </c>
      <c r="C14" s="40" t="s">
        <v>18</v>
      </c>
      <c r="D14" s="57"/>
      <c r="E14" s="86"/>
      <c r="F14" s="100"/>
      <c r="G14" s="126"/>
      <c r="K14" s="5"/>
      <c r="L14" s="6"/>
    </row>
    <row r="15" spans="1:24" ht="25.5">
      <c r="A15" s="125">
        <v>3</v>
      </c>
      <c r="B15" s="47">
        <v>111</v>
      </c>
      <c r="C15" s="63" t="s">
        <v>19</v>
      </c>
      <c r="D15" s="57"/>
      <c r="E15" s="86"/>
      <c r="F15" s="100"/>
      <c r="G15" s="126"/>
      <c r="K15" s="5"/>
      <c r="L15" s="6"/>
    </row>
    <row r="16" spans="1:24" ht="25.5">
      <c r="A16" s="125"/>
      <c r="B16" s="47"/>
      <c r="C16" s="63" t="s">
        <v>20</v>
      </c>
      <c r="D16" s="57"/>
      <c r="E16" s="86"/>
      <c r="F16" s="100"/>
      <c r="G16" s="126"/>
      <c r="K16" s="5"/>
      <c r="L16" s="6"/>
    </row>
    <row r="17" spans="1:13">
      <c r="A17" s="125"/>
      <c r="B17" s="47"/>
      <c r="C17" s="54" t="s">
        <v>15</v>
      </c>
      <c r="D17" s="57" t="s">
        <v>16</v>
      </c>
      <c r="E17" s="86"/>
      <c r="F17" s="100"/>
      <c r="G17" s="126">
        <v>300000</v>
      </c>
      <c r="K17" s="5"/>
      <c r="L17" s="6"/>
    </row>
    <row r="18" spans="1:13" ht="25.5">
      <c r="A18" s="127"/>
      <c r="B18" s="47">
        <v>113</v>
      </c>
      <c r="C18" s="52" t="s">
        <v>21</v>
      </c>
      <c r="D18" s="57"/>
      <c r="E18" s="86"/>
      <c r="F18" s="100"/>
      <c r="G18" s="126"/>
      <c r="K18" s="5"/>
      <c r="L18" s="6"/>
    </row>
    <row r="19" spans="1:13" ht="25.5">
      <c r="A19" s="125">
        <v>4</v>
      </c>
      <c r="B19" s="154" t="s">
        <v>22</v>
      </c>
      <c r="C19" s="64" t="s">
        <v>345</v>
      </c>
      <c r="D19" s="78"/>
      <c r="E19" s="92"/>
      <c r="F19" s="101"/>
      <c r="G19" s="128"/>
      <c r="K19" s="5"/>
      <c r="L19" s="6"/>
    </row>
    <row r="20" spans="1:13">
      <c r="A20" s="125"/>
      <c r="B20" s="154"/>
      <c r="C20" s="64" t="str">
        <f>DisFor(E20)</f>
        <v>76.25 · 6.4</v>
      </c>
      <c r="D20" s="78" t="s">
        <v>2</v>
      </c>
      <c r="E20" s="92">
        <f>76.25*6.4</f>
        <v>488</v>
      </c>
      <c r="F20" s="101"/>
      <c r="G20" s="128"/>
      <c r="K20" s="5"/>
      <c r="L20" s="6"/>
    </row>
    <row r="21" spans="1:13" ht="25.5">
      <c r="A21" s="125">
        <v>5</v>
      </c>
      <c r="B21" s="154" t="s">
        <v>23</v>
      </c>
      <c r="C21" s="64" t="s">
        <v>24</v>
      </c>
      <c r="D21" s="78"/>
      <c r="E21" s="92"/>
      <c r="F21" s="101"/>
      <c r="G21" s="128"/>
      <c r="K21" s="5"/>
      <c r="L21" s="6"/>
    </row>
    <row r="22" spans="1:13">
      <c r="A22" s="125"/>
      <c r="B22" s="154"/>
      <c r="C22" s="64" t="s">
        <v>130</v>
      </c>
      <c r="D22" s="78"/>
      <c r="E22" s="92"/>
      <c r="F22" s="101"/>
      <c r="G22" s="128"/>
      <c r="K22" s="5"/>
      <c r="L22" s="6"/>
    </row>
    <row r="23" spans="1:13">
      <c r="A23" s="125"/>
      <c r="B23" s="102" t="s">
        <v>25</v>
      </c>
      <c r="C23" s="64" t="s">
        <v>26</v>
      </c>
      <c r="D23" s="78" t="s">
        <v>2</v>
      </c>
      <c r="E23" s="92">
        <f>SUM(E20:E22)</f>
        <v>488</v>
      </c>
      <c r="F23" s="101"/>
      <c r="G23" s="128"/>
      <c r="K23" s="5"/>
      <c r="L23" s="6"/>
    </row>
    <row r="24" spans="1:13">
      <c r="A24" s="125"/>
      <c r="B24" s="47" t="s">
        <v>27</v>
      </c>
      <c r="C24" s="40" t="s">
        <v>147</v>
      </c>
      <c r="D24" s="57"/>
      <c r="E24" s="86"/>
      <c r="F24" s="100"/>
      <c r="G24" s="126"/>
      <c r="L24" s="8"/>
      <c r="M24" s="9"/>
    </row>
    <row r="25" spans="1:13">
      <c r="A25" s="125">
        <v>6</v>
      </c>
      <c r="B25" s="47">
        <v>121</v>
      </c>
      <c r="C25" s="52" t="s">
        <v>28</v>
      </c>
      <c r="D25" s="57"/>
      <c r="E25" s="86"/>
      <c r="F25" s="100"/>
      <c r="G25" s="126"/>
      <c r="K25" s="5"/>
      <c r="L25" s="6"/>
    </row>
    <row r="26" spans="1:13" ht="38.25">
      <c r="A26" s="125"/>
      <c r="B26" s="53"/>
      <c r="C26" s="54" t="s">
        <v>29</v>
      </c>
      <c r="D26" s="57"/>
      <c r="E26" s="86"/>
      <c r="F26" s="100"/>
      <c r="G26" s="126"/>
      <c r="K26" s="5"/>
      <c r="L26" s="6"/>
    </row>
    <row r="27" spans="1:13">
      <c r="A27" s="125"/>
      <c r="B27" s="154"/>
      <c r="C27" s="54" t="s">
        <v>30</v>
      </c>
      <c r="D27" s="57"/>
      <c r="E27" s="86"/>
      <c r="F27" s="100"/>
      <c r="G27" s="126"/>
      <c r="K27" s="5"/>
      <c r="L27" s="6"/>
    </row>
    <row r="28" spans="1:13">
      <c r="A28" s="125"/>
      <c r="B28" s="154"/>
      <c r="C28" s="54" t="str">
        <f>DisFor(E28)</f>
        <v>76.25 · 6.4</v>
      </c>
      <c r="D28" s="57" t="s">
        <v>2</v>
      </c>
      <c r="E28" s="86">
        <f>76.25*6.4</f>
        <v>488</v>
      </c>
      <c r="F28" s="100"/>
      <c r="G28" s="126"/>
      <c r="K28" s="5"/>
      <c r="L28" s="6"/>
    </row>
    <row r="29" spans="1:13">
      <c r="A29" s="125">
        <v>7</v>
      </c>
      <c r="B29" s="47">
        <v>122</v>
      </c>
      <c r="C29" s="40" t="s">
        <v>31</v>
      </c>
      <c r="D29" s="57"/>
      <c r="E29" s="86"/>
      <c r="F29" s="100"/>
      <c r="G29" s="126"/>
      <c r="L29" s="8"/>
      <c r="M29" s="9"/>
    </row>
    <row r="30" spans="1:13">
      <c r="A30" s="125"/>
      <c r="B30" s="154"/>
      <c r="C30" s="54" t="str">
        <f>DisFor(E31)</f>
        <v>2*(76.25+4.65)</v>
      </c>
      <c r="D30" s="57"/>
      <c r="E30" s="86"/>
      <c r="F30" s="100"/>
      <c r="G30" s="126"/>
      <c r="L30" s="8"/>
      <c r="M30" s="9"/>
    </row>
    <row r="31" spans="1:13">
      <c r="A31" s="125"/>
      <c r="B31" s="53"/>
      <c r="C31" s="54" t="s">
        <v>32</v>
      </c>
      <c r="D31" s="57" t="s">
        <v>3</v>
      </c>
      <c r="E31" s="86">
        <f>2*(76.25+4.65)</f>
        <v>161.80000000000001</v>
      </c>
      <c r="F31" s="100"/>
      <c r="G31" s="126"/>
      <c r="L31" s="8"/>
      <c r="M31" s="9"/>
    </row>
    <row r="32" spans="1:13" ht="25.5">
      <c r="A32" s="125">
        <v>8</v>
      </c>
      <c r="B32" s="47">
        <v>126</v>
      </c>
      <c r="C32" s="52" t="s">
        <v>338</v>
      </c>
      <c r="D32" s="57"/>
      <c r="E32" s="86"/>
      <c r="F32" s="100"/>
      <c r="G32" s="126"/>
      <c r="L32" s="1"/>
      <c r="M32" s="9"/>
    </row>
    <row r="33" spans="1:23">
      <c r="A33" s="125"/>
      <c r="B33" s="154"/>
      <c r="C33" s="54" t="str">
        <f>DisFor(E34)</f>
        <v>6 · 0.25 · 0.6 · 0.4</v>
      </c>
      <c r="D33" s="57"/>
      <c r="E33" s="86"/>
      <c r="F33" s="100"/>
      <c r="G33" s="126"/>
      <c r="L33" s="1"/>
      <c r="M33" s="9"/>
    </row>
    <row r="34" spans="1:23">
      <c r="A34" s="125"/>
      <c r="B34" s="53" t="s">
        <v>25</v>
      </c>
      <c r="C34" s="54" t="s">
        <v>33</v>
      </c>
      <c r="D34" s="57" t="s">
        <v>0</v>
      </c>
      <c r="E34" s="86">
        <f>6*0.25*0.6*0.4</f>
        <v>0.36</v>
      </c>
      <c r="F34" s="100"/>
      <c r="G34" s="126"/>
      <c r="L34" s="1"/>
      <c r="M34" s="9"/>
    </row>
    <row r="35" spans="1:23" ht="38.25">
      <c r="A35" s="125">
        <v>9</v>
      </c>
      <c r="B35" s="47">
        <v>127</v>
      </c>
      <c r="C35" s="52" t="s">
        <v>34</v>
      </c>
      <c r="D35" s="57"/>
      <c r="E35" s="86"/>
      <c r="F35" s="100"/>
      <c r="G35" s="126"/>
      <c r="L35" s="1"/>
      <c r="M35" s="9"/>
    </row>
    <row r="36" spans="1:23">
      <c r="A36" s="125"/>
      <c r="B36" s="53"/>
      <c r="C36" s="54" t="s">
        <v>339</v>
      </c>
      <c r="D36" s="57"/>
      <c r="E36" s="86"/>
      <c r="F36" s="100"/>
      <c r="G36" s="126"/>
      <c r="L36" s="1"/>
      <c r="M36" s="9"/>
    </row>
    <row r="37" spans="1:23">
      <c r="A37" s="125"/>
      <c r="B37" s="53"/>
      <c r="C37" s="54" t="str">
        <f>DisFor(E38)</f>
        <v>2 · 9</v>
      </c>
      <c r="D37" s="57"/>
      <c r="E37" s="86"/>
      <c r="F37" s="100"/>
      <c r="G37" s="126"/>
      <c r="L37" s="1"/>
      <c r="M37" s="9"/>
    </row>
    <row r="38" spans="1:23" ht="25.5">
      <c r="A38" s="125"/>
      <c r="B38" s="53"/>
      <c r="C38" s="54" t="s">
        <v>35</v>
      </c>
      <c r="D38" s="57" t="s">
        <v>3</v>
      </c>
      <c r="E38" s="86">
        <f>2*9</f>
        <v>18</v>
      </c>
      <c r="F38" s="100"/>
      <c r="G38" s="126"/>
      <c r="L38" s="1"/>
      <c r="M38" s="9"/>
    </row>
    <row r="39" spans="1:23" s="10" customFormat="1" ht="25.5">
      <c r="A39" s="125">
        <v>10</v>
      </c>
      <c r="B39" s="47">
        <v>130</v>
      </c>
      <c r="C39" s="65" t="s">
        <v>36</v>
      </c>
      <c r="D39" s="48"/>
      <c r="E39" s="79"/>
      <c r="F39" s="102"/>
      <c r="G39" s="129"/>
      <c r="L39" s="11"/>
      <c r="M39" s="9"/>
      <c r="N39" s="12"/>
      <c r="O39" s="12"/>
      <c r="P39" s="12"/>
      <c r="Q39" s="12"/>
      <c r="R39" s="12"/>
      <c r="S39" s="12"/>
      <c r="T39" s="12"/>
      <c r="U39" s="13"/>
      <c r="V39" s="13"/>
      <c r="W39" s="13"/>
    </row>
    <row r="40" spans="1:23" s="10" customFormat="1">
      <c r="A40" s="125"/>
      <c r="B40" s="154"/>
      <c r="C40" s="54" t="str">
        <f>DisFor(E41)</f>
        <v>2 · 85.6</v>
      </c>
      <c r="D40" s="57"/>
      <c r="E40" s="86"/>
      <c r="F40" s="100"/>
      <c r="G40" s="126"/>
      <c r="L40" s="11"/>
      <c r="M40" s="9"/>
      <c r="N40" s="12"/>
      <c r="O40" s="12"/>
      <c r="P40" s="12"/>
      <c r="Q40" s="12"/>
      <c r="R40" s="12"/>
      <c r="S40" s="12"/>
      <c r="T40" s="12"/>
      <c r="U40" s="13"/>
      <c r="V40" s="13"/>
      <c r="W40" s="13"/>
    </row>
    <row r="41" spans="1:23" s="10" customFormat="1">
      <c r="A41" s="130"/>
      <c r="B41" s="102"/>
      <c r="C41" s="66" t="s">
        <v>340</v>
      </c>
      <c r="D41" s="48" t="s">
        <v>3</v>
      </c>
      <c r="E41" s="86">
        <f>2*85.6</f>
        <v>171.2</v>
      </c>
      <c r="F41" s="100"/>
      <c r="G41" s="126"/>
      <c r="L41" s="11"/>
      <c r="M41" s="9"/>
      <c r="N41" s="12"/>
      <c r="O41" s="12"/>
      <c r="P41" s="12"/>
      <c r="Q41" s="12"/>
      <c r="R41" s="12"/>
      <c r="S41" s="12"/>
      <c r="T41" s="12"/>
      <c r="U41" s="13"/>
      <c r="V41" s="13"/>
      <c r="W41" s="13"/>
    </row>
    <row r="42" spans="1:23" s="10" customFormat="1" ht="25.5">
      <c r="A42" s="125"/>
      <c r="B42" s="47">
        <v>131</v>
      </c>
      <c r="C42" s="65" t="s">
        <v>38</v>
      </c>
      <c r="D42" s="48"/>
      <c r="E42" s="79"/>
      <c r="F42" s="102"/>
      <c r="G42" s="129"/>
      <c r="L42" s="11"/>
      <c r="M42" s="9"/>
      <c r="N42" s="12"/>
      <c r="O42" s="12"/>
      <c r="P42" s="12"/>
      <c r="Q42" s="12"/>
      <c r="R42" s="12"/>
      <c r="S42" s="12"/>
      <c r="T42" s="12"/>
      <c r="U42" s="13"/>
      <c r="V42" s="13"/>
      <c r="W42" s="13"/>
    </row>
    <row r="43" spans="1:23" s="10" customFormat="1">
      <c r="A43" s="125">
        <v>11</v>
      </c>
      <c r="B43" s="47" t="s">
        <v>114</v>
      </c>
      <c r="C43" s="67" t="s">
        <v>116</v>
      </c>
      <c r="D43" s="48"/>
      <c r="E43" s="79"/>
      <c r="F43" s="102"/>
      <c r="G43" s="129"/>
      <c r="L43" s="11"/>
      <c r="M43" s="9"/>
      <c r="N43" s="12"/>
      <c r="O43" s="12"/>
      <c r="P43" s="12"/>
      <c r="Q43" s="12"/>
      <c r="R43" s="12"/>
      <c r="S43" s="12"/>
      <c r="T43" s="12"/>
      <c r="U43" s="13"/>
      <c r="V43" s="13"/>
      <c r="W43" s="13"/>
    </row>
    <row r="44" spans="1:23" s="10" customFormat="1">
      <c r="A44" s="125"/>
      <c r="B44" s="47"/>
      <c r="C44" s="67" t="s">
        <v>117</v>
      </c>
      <c r="D44" s="48"/>
      <c r="E44" s="79"/>
      <c r="F44" s="102"/>
      <c r="G44" s="129"/>
      <c r="L44" s="11"/>
      <c r="M44" s="9"/>
      <c r="N44" s="12"/>
      <c r="O44" s="12"/>
      <c r="P44" s="12"/>
      <c r="Q44" s="12"/>
      <c r="R44" s="12"/>
      <c r="S44" s="12"/>
      <c r="T44" s="12"/>
      <c r="U44" s="13"/>
      <c r="V44" s="13"/>
      <c r="W44" s="13"/>
    </row>
    <row r="45" spans="1:23" s="10" customFormat="1">
      <c r="A45" s="125"/>
      <c r="B45" s="47"/>
      <c r="C45" s="54" t="s">
        <v>15</v>
      </c>
      <c r="D45" s="57" t="s">
        <v>16</v>
      </c>
      <c r="E45" s="79"/>
      <c r="F45" s="102"/>
      <c r="G45" s="126"/>
      <c r="L45" s="11"/>
      <c r="M45" s="9"/>
      <c r="N45" s="12"/>
      <c r="O45" s="12"/>
      <c r="P45" s="12"/>
      <c r="Q45" s="12"/>
      <c r="R45" s="12"/>
      <c r="S45" s="12"/>
      <c r="T45" s="12"/>
      <c r="U45" s="13"/>
      <c r="V45" s="13"/>
      <c r="W45" s="13"/>
    </row>
    <row r="46" spans="1:23" s="10" customFormat="1" ht="25.5">
      <c r="A46" s="125">
        <v>12</v>
      </c>
      <c r="B46" s="47" t="s">
        <v>115</v>
      </c>
      <c r="C46" s="67" t="s">
        <v>221</v>
      </c>
      <c r="D46" s="48"/>
      <c r="E46" s="79"/>
      <c r="F46" s="102"/>
      <c r="G46" s="129"/>
      <c r="L46" s="11"/>
      <c r="M46" s="9"/>
      <c r="N46" s="12"/>
      <c r="O46" s="12"/>
      <c r="P46" s="12"/>
      <c r="Q46" s="12"/>
      <c r="R46" s="12"/>
      <c r="S46" s="12"/>
      <c r="T46" s="12"/>
      <c r="U46" s="13"/>
      <c r="V46" s="13"/>
      <c r="W46" s="13"/>
    </row>
    <row r="47" spans="1:23" s="10" customFormat="1">
      <c r="A47" s="125"/>
      <c r="B47" s="53"/>
      <c r="C47" s="64" t="str">
        <f>DisFor(E47)</f>
        <v>2 · 0.43 · 85.6</v>
      </c>
      <c r="D47" s="78" t="s">
        <v>0</v>
      </c>
      <c r="E47" s="92">
        <f>2*0.43*85.6</f>
        <v>73.616</v>
      </c>
      <c r="F47" s="100"/>
      <c r="G47" s="126"/>
      <c r="L47" s="11"/>
      <c r="M47" s="9"/>
      <c r="N47" s="12"/>
      <c r="O47" s="12"/>
      <c r="P47" s="12"/>
      <c r="Q47" s="12"/>
      <c r="R47" s="12"/>
      <c r="S47" s="12"/>
      <c r="T47" s="12"/>
      <c r="U47" s="13"/>
      <c r="V47" s="13"/>
      <c r="W47" s="13"/>
    </row>
    <row r="48" spans="1:23" s="10" customFormat="1">
      <c r="A48" s="125"/>
      <c r="B48" s="53"/>
      <c r="C48" s="54" t="s">
        <v>118</v>
      </c>
      <c r="D48" s="57"/>
      <c r="E48" s="86"/>
      <c r="F48" s="100"/>
      <c r="G48" s="126"/>
      <c r="L48" s="11"/>
      <c r="M48" s="9"/>
      <c r="N48" s="12"/>
      <c r="O48" s="12"/>
      <c r="P48" s="12"/>
      <c r="Q48" s="12"/>
      <c r="R48" s="12"/>
      <c r="S48" s="12"/>
      <c r="T48" s="12"/>
      <c r="U48" s="13"/>
      <c r="V48" s="13"/>
      <c r="W48" s="13"/>
    </row>
    <row r="49" spans="1:23" s="10" customFormat="1">
      <c r="A49" s="125"/>
      <c r="B49" s="53"/>
      <c r="C49" s="54" t="str">
        <f>DisFor(E49)</f>
        <v>2 · 0.57 · 0.45 · 6.4</v>
      </c>
      <c r="D49" s="57" t="s">
        <v>0</v>
      </c>
      <c r="E49" s="86">
        <f>2*0.57*0.45*6.4</f>
        <v>3.2832000000000003</v>
      </c>
      <c r="F49" s="100"/>
      <c r="G49" s="126"/>
      <c r="L49" s="11"/>
      <c r="M49" s="9"/>
      <c r="N49" s="12"/>
      <c r="O49" s="12"/>
      <c r="P49" s="12"/>
      <c r="Q49" s="12"/>
      <c r="R49" s="12"/>
      <c r="S49" s="12"/>
      <c r="T49" s="12"/>
      <c r="U49" s="13"/>
      <c r="V49" s="13"/>
      <c r="W49" s="13"/>
    </row>
    <row r="50" spans="1:23" s="10" customFormat="1">
      <c r="A50" s="125"/>
      <c r="B50" s="53"/>
      <c r="C50" s="54" t="s">
        <v>119</v>
      </c>
      <c r="D50" s="57"/>
      <c r="E50" s="86"/>
      <c r="F50" s="100"/>
      <c r="G50" s="126"/>
      <c r="L50" s="11"/>
      <c r="M50" s="9"/>
      <c r="N50" s="12"/>
      <c r="O50" s="12"/>
      <c r="P50" s="12"/>
      <c r="Q50" s="12"/>
      <c r="R50" s="12"/>
      <c r="S50" s="12"/>
      <c r="T50" s="12"/>
      <c r="U50" s="13"/>
      <c r="V50" s="13"/>
      <c r="W50" s="13"/>
    </row>
    <row r="51" spans="1:23" s="10" customFormat="1">
      <c r="A51" s="125"/>
      <c r="B51" s="53"/>
      <c r="C51" s="54" t="str">
        <f>DisFor(E51)</f>
        <v>1.15 · 0.84 · 0.1</v>
      </c>
      <c r="D51" s="57" t="s">
        <v>0</v>
      </c>
      <c r="E51" s="86">
        <f>1.15*0.84*0.1</f>
        <v>9.6599999999999991E-2</v>
      </c>
      <c r="F51" s="100"/>
      <c r="G51" s="126"/>
      <c r="L51" s="11"/>
      <c r="M51" s="9"/>
      <c r="N51" s="12"/>
      <c r="O51" s="12"/>
      <c r="P51" s="12"/>
      <c r="Q51" s="12"/>
      <c r="R51" s="12"/>
      <c r="S51" s="12"/>
      <c r="T51" s="12"/>
      <c r="U51" s="13"/>
      <c r="V51" s="13"/>
      <c r="W51" s="13"/>
    </row>
    <row r="52" spans="1:23">
      <c r="A52" s="125"/>
      <c r="B52" s="102" t="s">
        <v>25</v>
      </c>
      <c r="C52" s="54" t="s">
        <v>39</v>
      </c>
      <c r="D52" s="57" t="s">
        <v>0</v>
      </c>
      <c r="E52" s="86">
        <f>SUM(E47:E51)</f>
        <v>76.995799999999988</v>
      </c>
      <c r="F52" s="100"/>
      <c r="G52" s="126"/>
      <c r="L52" s="1"/>
      <c r="M52" s="9"/>
    </row>
    <row r="53" spans="1:23" s="10" customFormat="1" ht="25.5">
      <c r="A53" s="125">
        <v>13</v>
      </c>
      <c r="B53" s="47" t="s">
        <v>198</v>
      </c>
      <c r="C53" s="56" t="s">
        <v>275</v>
      </c>
      <c r="D53" s="48"/>
      <c r="E53" s="79"/>
      <c r="F53" s="102"/>
      <c r="G53" s="129"/>
      <c r="L53" s="11"/>
      <c r="M53" s="9"/>
      <c r="N53" s="12"/>
      <c r="O53" s="12"/>
      <c r="P53" s="12"/>
      <c r="Q53" s="12"/>
      <c r="R53" s="12"/>
      <c r="S53" s="12"/>
      <c r="T53" s="12"/>
      <c r="U53" s="13"/>
      <c r="V53" s="13"/>
      <c r="W53" s="13"/>
    </row>
    <row r="54" spans="1:23" s="10" customFormat="1" ht="76.5">
      <c r="A54" s="125"/>
      <c r="B54" s="47"/>
      <c r="C54" s="67" t="s">
        <v>209</v>
      </c>
      <c r="D54" s="48"/>
      <c r="E54" s="79"/>
      <c r="F54" s="102"/>
      <c r="G54" s="129"/>
      <c r="L54" s="11"/>
      <c r="M54" s="9"/>
      <c r="N54" s="12"/>
      <c r="O54" s="12"/>
      <c r="P54" s="12"/>
      <c r="Q54" s="12"/>
      <c r="R54" s="12"/>
      <c r="S54" s="12"/>
      <c r="T54" s="12"/>
      <c r="U54" s="13"/>
      <c r="V54" s="13"/>
      <c r="W54" s="13"/>
    </row>
    <row r="55" spans="1:23" s="10" customFormat="1">
      <c r="A55" s="125"/>
      <c r="B55" s="47"/>
      <c r="C55" s="54" t="s">
        <v>200</v>
      </c>
      <c r="D55" s="48"/>
      <c r="E55" s="79"/>
      <c r="F55" s="102"/>
      <c r="G55" s="129"/>
      <c r="L55" s="11"/>
      <c r="M55" s="9"/>
      <c r="N55" s="12"/>
      <c r="O55" s="12"/>
      <c r="P55" s="12"/>
      <c r="Q55" s="12"/>
      <c r="R55" s="12"/>
      <c r="S55" s="12"/>
      <c r="T55" s="12"/>
      <c r="U55" s="13"/>
      <c r="V55" s="13"/>
      <c r="W55" s="13"/>
    </row>
    <row r="56" spans="1:23" s="10" customFormat="1" ht="41.25" customHeight="1">
      <c r="A56" s="125"/>
      <c r="B56" s="53"/>
      <c r="C56" s="54" t="str">
        <f>DisFor(E56)</f>
        <v>(1 · 0.5+0.5 · 3.5) · 0.1+8 · 0.15 · 0.15</v>
      </c>
      <c r="D56" s="78" t="s">
        <v>0</v>
      </c>
      <c r="E56" s="86">
        <f>(1*0.5+0.5*3.5)*0.1+8*0.15*0.15</f>
        <v>0.40500000000000003</v>
      </c>
      <c r="F56" s="100"/>
      <c r="G56" s="126"/>
      <c r="L56" s="11"/>
      <c r="M56" s="9"/>
      <c r="N56" s="12"/>
      <c r="O56" s="12"/>
      <c r="P56" s="12"/>
      <c r="Q56" s="12"/>
      <c r="R56" s="12"/>
      <c r="S56" s="12"/>
      <c r="T56" s="12"/>
      <c r="U56" s="13"/>
      <c r="V56" s="13"/>
      <c r="W56" s="13"/>
    </row>
    <row r="57" spans="1:23" s="10" customFormat="1" ht="25.5">
      <c r="A57" s="125">
        <v>14</v>
      </c>
      <c r="B57" s="47" t="s">
        <v>206</v>
      </c>
      <c r="C57" s="67" t="s">
        <v>199</v>
      </c>
      <c r="D57" s="48"/>
      <c r="E57" s="79"/>
      <c r="F57" s="102"/>
      <c r="G57" s="129"/>
      <c r="L57" s="11"/>
      <c r="M57" s="9"/>
      <c r="N57" s="12"/>
      <c r="O57" s="12"/>
      <c r="P57" s="12"/>
      <c r="Q57" s="12"/>
      <c r="R57" s="12"/>
      <c r="S57" s="12"/>
      <c r="T57" s="12"/>
      <c r="U57" s="13"/>
      <c r="V57" s="13"/>
      <c r="W57" s="13"/>
    </row>
    <row r="58" spans="1:23" s="10" customFormat="1" ht="176.25" customHeight="1">
      <c r="A58" s="125"/>
      <c r="B58" s="47"/>
      <c r="C58" s="67" t="s">
        <v>208</v>
      </c>
      <c r="D58" s="48"/>
      <c r="E58" s="79"/>
      <c r="F58" s="102"/>
      <c r="G58" s="129"/>
      <c r="L58" s="41"/>
      <c r="M58" s="42"/>
      <c r="N58" s="12"/>
      <c r="O58" s="12"/>
      <c r="P58" s="12"/>
      <c r="Q58" s="12"/>
      <c r="R58" s="12"/>
      <c r="S58" s="12"/>
      <c r="T58" s="12"/>
      <c r="U58" s="13"/>
      <c r="V58" s="13"/>
      <c r="W58" s="13"/>
    </row>
    <row r="59" spans="1:23" s="10" customFormat="1" ht="21" customHeight="1">
      <c r="A59" s="125"/>
      <c r="B59" s="47"/>
      <c r="C59" s="54" t="s">
        <v>201</v>
      </c>
      <c r="D59" s="48"/>
      <c r="E59" s="79"/>
      <c r="F59" s="102"/>
      <c r="G59" s="129"/>
      <c r="L59" s="11"/>
      <c r="M59" s="9"/>
      <c r="N59" s="12"/>
      <c r="O59" s="12"/>
      <c r="P59" s="12"/>
      <c r="Q59" s="12"/>
      <c r="R59" s="12"/>
      <c r="S59" s="12"/>
      <c r="T59" s="12"/>
      <c r="U59" s="13"/>
      <c r="V59" s="13"/>
      <c r="W59" s="13"/>
    </row>
    <row r="60" spans="1:23" s="10" customFormat="1" ht="33.75" customHeight="1">
      <c r="A60" s="125"/>
      <c r="B60" s="53"/>
      <c r="C60" s="54" t="str">
        <f>DisFor(E60)</f>
        <v>4+3</v>
      </c>
      <c r="D60" s="80" t="s">
        <v>203</v>
      </c>
      <c r="E60" s="86">
        <f>4+3</f>
        <v>7</v>
      </c>
      <c r="F60" s="100"/>
      <c r="G60" s="126"/>
      <c r="L60" s="11"/>
      <c r="M60" s="9"/>
      <c r="N60" s="12"/>
      <c r="O60" s="12"/>
      <c r="P60" s="12"/>
      <c r="Q60" s="12"/>
      <c r="R60" s="12"/>
      <c r="S60" s="12"/>
      <c r="T60" s="12"/>
      <c r="U60" s="13"/>
      <c r="V60" s="13"/>
      <c r="W60" s="13"/>
    </row>
    <row r="61" spans="1:23" s="10" customFormat="1">
      <c r="A61" s="125"/>
      <c r="B61" s="53"/>
      <c r="C61" s="54" t="s">
        <v>202</v>
      </c>
      <c r="D61" s="81"/>
      <c r="E61" s="86"/>
      <c r="F61" s="100"/>
      <c r="G61" s="126"/>
      <c r="L61" s="11"/>
      <c r="M61" s="9"/>
      <c r="N61" s="12"/>
      <c r="O61" s="12"/>
      <c r="P61" s="12"/>
      <c r="Q61" s="12"/>
      <c r="R61" s="12"/>
      <c r="S61" s="12"/>
      <c r="T61" s="12"/>
      <c r="U61" s="13"/>
      <c r="V61" s="13"/>
      <c r="W61" s="13"/>
    </row>
    <row r="62" spans="1:23" s="10" customFormat="1">
      <c r="A62" s="125"/>
      <c r="B62" s="53"/>
      <c r="C62" s="54" t="str">
        <f>DisFor(E62)</f>
        <v>45 · 3</v>
      </c>
      <c r="D62" s="80" t="s">
        <v>203</v>
      </c>
      <c r="E62" s="86">
        <f>45*3</f>
        <v>135</v>
      </c>
      <c r="F62" s="100"/>
      <c r="G62" s="126"/>
      <c r="L62" s="11"/>
      <c r="M62" s="9"/>
      <c r="N62" s="12"/>
      <c r="O62" s="12"/>
      <c r="P62" s="12"/>
      <c r="Q62" s="12"/>
      <c r="R62" s="12"/>
      <c r="S62" s="12"/>
      <c r="T62" s="12"/>
      <c r="U62" s="13"/>
      <c r="V62" s="13"/>
      <c r="W62" s="13"/>
    </row>
    <row r="63" spans="1:23" s="10" customFormat="1">
      <c r="A63" s="125"/>
      <c r="B63" s="53"/>
      <c r="C63" s="54" t="s">
        <v>204</v>
      </c>
      <c r="D63" s="81"/>
      <c r="E63" s="86"/>
      <c r="F63" s="100"/>
      <c r="G63" s="126"/>
      <c r="L63" s="11"/>
      <c r="M63" s="9"/>
      <c r="N63" s="12"/>
      <c r="O63" s="12"/>
      <c r="P63" s="12"/>
      <c r="Q63" s="12"/>
      <c r="R63" s="12"/>
      <c r="S63" s="12"/>
      <c r="T63" s="12"/>
      <c r="U63" s="13"/>
      <c r="V63" s="13"/>
      <c r="W63" s="13"/>
    </row>
    <row r="64" spans="1:23" s="10" customFormat="1">
      <c r="A64" s="125"/>
      <c r="B64" s="53"/>
      <c r="C64" s="54" t="str">
        <f>DisFor(E64)</f>
        <v>1 · 75 · 2</v>
      </c>
      <c r="D64" s="80" t="s">
        <v>203</v>
      </c>
      <c r="E64" s="86">
        <f>1*75*2</f>
        <v>150</v>
      </c>
      <c r="F64" s="100"/>
      <c r="G64" s="126"/>
      <c r="L64" s="11"/>
      <c r="M64" s="9"/>
      <c r="N64" s="12"/>
      <c r="O64" s="12"/>
      <c r="P64" s="12"/>
      <c r="Q64" s="12"/>
      <c r="R64" s="12"/>
      <c r="S64" s="12"/>
      <c r="T64" s="12"/>
      <c r="U64" s="13"/>
      <c r="V64" s="13"/>
      <c r="W64" s="13"/>
    </row>
    <row r="65" spans="1:23">
      <c r="A65" s="125"/>
      <c r="B65" s="102" t="s">
        <v>25</v>
      </c>
      <c r="C65" s="54" t="s">
        <v>205</v>
      </c>
      <c r="D65" s="80" t="s">
        <v>203</v>
      </c>
      <c r="E65" s="86">
        <f>SUM(E60:E64)</f>
        <v>292</v>
      </c>
      <c r="F65" s="100"/>
      <c r="G65" s="126"/>
      <c r="L65" s="1"/>
      <c r="M65" s="9"/>
    </row>
    <row r="66" spans="1:23" s="10" customFormat="1" ht="25.5">
      <c r="A66" s="125">
        <v>15</v>
      </c>
      <c r="B66" s="47" t="s">
        <v>311</v>
      </c>
      <c r="C66" s="67" t="s">
        <v>207</v>
      </c>
      <c r="D66" s="48"/>
      <c r="E66" s="79"/>
      <c r="F66" s="102"/>
      <c r="G66" s="129"/>
      <c r="L66" s="11"/>
      <c r="M66" s="9"/>
      <c r="N66" s="12"/>
      <c r="O66" s="12"/>
      <c r="P66" s="12"/>
      <c r="Q66" s="12"/>
      <c r="R66" s="12"/>
      <c r="S66" s="12"/>
      <c r="T66" s="12"/>
      <c r="U66" s="13"/>
      <c r="V66" s="13"/>
      <c r="W66" s="13"/>
    </row>
    <row r="67" spans="1:23" s="10" customFormat="1" ht="165.75">
      <c r="A67" s="125"/>
      <c r="B67" s="47"/>
      <c r="C67" s="49" t="s">
        <v>276</v>
      </c>
      <c r="D67" s="48"/>
      <c r="E67" s="79"/>
      <c r="F67" s="102"/>
      <c r="G67" s="129"/>
      <c r="L67" s="11"/>
      <c r="M67" s="9"/>
      <c r="N67" s="12"/>
      <c r="O67" s="12"/>
      <c r="P67" s="12"/>
      <c r="Q67" s="12"/>
      <c r="R67" s="12"/>
      <c r="S67" s="12"/>
      <c r="T67" s="12"/>
      <c r="U67" s="13"/>
      <c r="V67" s="13"/>
      <c r="W67" s="13"/>
    </row>
    <row r="68" spans="1:23" s="10" customFormat="1">
      <c r="A68" s="125"/>
      <c r="B68" s="47"/>
      <c r="C68" s="54" t="s">
        <v>214</v>
      </c>
      <c r="D68" s="48"/>
      <c r="E68" s="79"/>
      <c r="F68" s="102"/>
      <c r="G68" s="129"/>
      <c r="L68" s="11"/>
      <c r="M68" s="9"/>
      <c r="N68" s="12"/>
      <c r="O68" s="12"/>
      <c r="P68" s="12"/>
      <c r="Q68" s="12"/>
      <c r="R68" s="12"/>
      <c r="S68" s="12"/>
      <c r="T68" s="12"/>
      <c r="U68" s="13"/>
      <c r="V68" s="13"/>
      <c r="W68" s="13"/>
    </row>
    <row r="69" spans="1:23" s="10" customFormat="1">
      <c r="A69" s="125"/>
      <c r="B69" s="53"/>
      <c r="C69" s="54" t="str">
        <f>DisFor(E69)</f>
        <v>0.4 · 75.4 · 3</v>
      </c>
      <c r="D69" s="82" t="s">
        <v>277</v>
      </c>
      <c r="E69" s="86">
        <f>0.4*75.4*3</f>
        <v>90.480000000000018</v>
      </c>
      <c r="F69" s="100"/>
      <c r="G69" s="126"/>
      <c r="L69" s="11"/>
      <c r="M69" s="9"/>
      <c r="N69" s="12"/>
      <c r="O69" s="12"/>
      <c r="P69" s="12"/>
      <c r="Q69" s="12"/>
      <c r="R69" s="12"/>
      <c r="S69" s="12"/>
      <c r="T69" s="12"/>
      <c r="U69" s="13"/>
      <c r="V69" s="13"/>
      <c r="W69" s="13"/>
    </row>
    <row r="70" spans="1:23" s="10" customFormat="1">
      <c r="A70" s="125"/>
      <c r="B70" s="47"/>
      <c r="C70" s="54" t="s">
        <v>210</v>
      </c>
      <c r="D70" s="83"/>
      <c r="E70" s="79"/>
      <c r="F70" s="102"/>
      <c r="G70" s="129"/>
      <c r="L70" s="11"/>
      <c r="M70" s="9"/>
      <c r="N70" s="12"/>
      <c r="O70" s="12"/>
      <c r="P70" s="12"/>
      <c r="Q70" s="12"/>
      <c r="R70" s="12"/>
      <c r="S70" s="12"/>
      <c r="T70" s="12"/>
      <c r="U70" s="13"/>
      <c r="V70" s="13"/>
      <c r="W70" s="13"/>
    </row>
    <row r="71" spans="1:23" s="10" customFormat="1">
      <c r="A71" s="125"/>
      <c r="B71" s="53"/>
      <c r="C71" s="54" t="str">
        <f>DisFor(E71)</f>
        <v>2 · 2.6 · 0.25 · 2+0.4 · 2.6 · 2 · 3+1.3 · 0.25 · 3</v>
      </c>
      <c r="D71" s="82" t="s">
        <v>277</v>
      </c>
      <c r="E71" s="86">
        <f>2*2.6*0.25*2+0.4*2.6*2*3+1.3*0.25*3</f>
        <v>9.8149999999999995</v>
      </c>
      <c r="F71" s="100"/>
      <c r="G71" s="126"/>
      <c r="L71" s="11"/>
      <c r="M71" s="9"/>
      <c r="N71" s="12"/>
      <c r="O71" s="12"/>
      <c r="P71" s="12"/>
      <c r="Q71" s="12"/>
      <c r="R71" s="12"/>
      <c r="S71" s="12"/>
      <c r="T71" s="12"/>
      <c r="U71" s="13"/>
      <c r="V71" s="13"/>
      <c r="W71" s="13"/>
    </row>
    <row r="72" spans="1:23" s="10" customFormat="1">
      <c r="A72" s="125"/>
      <c r="B72" s="53"/>
      <c r="C72" s="54" t="s">
        <v>211</v>
      </c>
      <c r="D72" s="84"/>
      <c r="E72" s="86"/>
      <c r="F72" s="100"/>
      <c r="G72" s="126"/>
      <c r="L72" s="11"/>
      <c r="M72" s="9"/>
      <c r="N72" s="12"/>
      <c r="O72" s="12"/>
      <c r="P72" s="12"/>
      <c r="Q72" s="12"/>
      <c r="R72" s="12"/>
      <c r="S72" s="12"/>
      <c r="T72" s="12"/>
      <c r="U72" s="13"/>
      <c r="V72" s="13"/>
      <c r="W72" s="13"/>
    </row>
    <row r="73" spans="1:23" s="10" customFormat="1">
      <c r="A73" s="125"/>
      <c r="B73" s="53"/>
      <c r="C73" s="54" t="str">
        <f>DisFor(E73)</f>
        <v>4+2+1+1+1+3+2+1+3+2</v>
      </c>
      <c r="D73" s="82" t="s">
        <v>277</v>
      </c>
      <c r="E73" s="86">
        <f>4+2+1+1+1+3+2+1+3+2</f>
        <v>20</v>
      </c>
      <c r="F73" s="100"/>
      <c r="G73" s="126"/>
      <c r="L73" s="11"/>
      <c r="M73" s="9"/>
      <c r="N73" s="12"/>
      <c r="O73" s="12"/>
      <c r="P73" s="12"/>
      <c r="Q73" s="12"/>
      <c r="R73" s="12"/>
      <c r="S73" s="12"/>
      <c r="T73" s="12"/>
      <c r="U73" s="13"/>
      <c r="V73" s="13"/>
      <c r="W73" s="13"/>
    </row>
    <row r="74" spans="1:23" s="10" customFormat="1">
      <c r="A74" s="125"/>
      <c r="B74" s="53"/>
      <c r="C74" s="54" t="s">
        <v>212</v>
      </c>
      <c r="D74" s="84"/>
      <c r="E74" s="86"/>
      <c r="F74" s="100"/>
      <c r="G74" s="126"/>
      <c r="L74" s="11"/>
      <c r="M74" s="9"/>
      <c r="N74" s="12"/>
      <c r="O74" s="12"/>
      <c r="P74" s="12"/>
      <c r="Q74" s="12"/>
      <c r="R74" s="12"/>
      <c r="S74" s="12"/>
      <c r="T74" s="12"/>
      <c r="U74" s="13"/>
      <c r="V74" s="13"/>
      <c r="W74" s="13"/>
    </row>
    <row r="75" spans="1:23" s="10" customFormat="1">
      <c r="A75" s="125"/>
      <c r="B75" s="53"/>
      <c r="C75" s="54" t="str">
        <f>DisFor(E75)</f>
        <v>4 · 1.25</v>
      </c>
      <c r="D75" s="82" t="s">
        <v>277</v>
      </c>
      <c r="E75" s="86">
        <f>4*1.25</f>
        <v>5</v>
      </c>
      <c r="F75" s="100"/>
      <c r="G75" s="126"/>
      <c r="L75" s="11"/>
      <c r="M75" s="9"/>
      <c r="N75" s="12"/>
      <c r="O75" s="12"/>
      <c r="P75" s="12"/>
      <c r="Q75" s="12"/>
      <c r="R75" s="12"/>
      <c r="S75" s="12"/>
      <c r="T75" s="12"/>
      <c r="U75" s="13"/>
      <c r="V75" s="13"/>
      <c r="W75" s="13"/>
    </row>
    <row r="76" spans="1:23">
      <c r="A76" s="125"/>
      <c r="B76" s="102" t="s">
        <v>25</v>
      </c>
      <c r="C76" s="54" t="s">
        <v>213</v>
      </c>
      <c r="D76" s="82" t="s">
        <v>277</v>
      </c>
      <c r="E76" s="86">
        <f>SUM(E68:E75)</f>
        <v>125.29500000000002</v>
      </c>
      <c r="F76" s="100"/>
      <c r="G76" s="126"/>
      <c r="L76" s="1"/>
      <c r="M76" s="9"/>
    </row>
    <row r="77" spans="1:23" ht="25.5">
      <c r="A77" s="125">
        <v>16</v>
      </c>
      <c r="B77" s="47">
        <v>132</v>
      </c>
      <c r="C77" s="65" t="s">
        <v>351</v>
      </c>
      <c r="D77" s="48"/>
      <c r="E77" s="86"/>
      <c r="F77" s="102"/>
      <c r="G77" s="126"/>
      <c r="L77" s="1"/>
      <c r="M77" s="9"/>
    </row>
    <row r="78" spans="1:23">
      <c r="A78" s="125"/>
      <c r="B78" s="53"/>
      <c r="C78" s="66" t="s">
        <v>350</v>
      </c>
      <c r="D78" s="48" t="s">
        <v>40</v>
      </c>
      <c r="E78" s="92"/>
      <c r="F78" s="101"/>
      <c r="G78" s="128"/>
      <c r="L78" s="1"/>
      <c r="M78" s="9"/>
    </row>
    <row r="79" spans="1:23">
      <c r="A79" s="125"/>
      <c r="B79" s="47"/>
      <c r="C79" s="68" t="s">
        <v>352</v>
      </c>
      <c r="D79" s="48"/>
      <c r="E79" s="86"/>
      <c r="F79" s="102"/>
      <c r="G79" s="126"/>
      <c r="L79" s="1"/>
      <c r="M79" s="9"/>
    </row>
    <row r="80" spans="1:23">
      <c r="A80" s="125"/>
      <c r="B80" s="47"/>
      <c r="C80" s="69">
        <v>2</v>
      </c>
      <c r="D80" s="48" t="s">
        <v>40</v>
      </c>
      <c r="E80" s="86">
        <v>2</v>
      </c>
      <c r="F80" s="100"/>
      <c r="G80" s="126"/>
      <c r="L80" s="1"/>
      <c r="M80" s="9"/>
    </row>
    <row r="81" spans="1:13">
      <c r="A81" s="125"/>
      <c r="B81" s="47"/>
      <c r="C81" s="68" t="s">
        <v>353</v>
      </c>
      <c r="D81" s="48"/>
      <c r="E81" s="86"/>
      <c r="F81" s="102"/>
      <c r="G81" s="126"/>
      <c r="L81" s="1"/>
      <c r="M81" s="9"/>
    </row>
    <row r="82" spans="1:13">
      <c r="A82" s="125"/>
      <c r="B82" s="47"/>
      <c r="C82" s="69">
        <v>3</v>
      </c>
      <c r="D82" s="48" t="s">
        <v>40</v>
      </c>
      <c r="E82" s="86">
        <v>3</v>
      </c>
      <c r="F82" s="100"/>
      <c r="G82" s="126"/>
      <c r="L82" s="1"/>
      <c r="M82" s="9"/>
    </row>
    <row r="83" spans="1:13">
      <c r="A83" s="125">
        <v>17</v>
      </c>
      <c r="B83" s="47">
        <v>135</v>
      </c>
      <c r="C83" s="65" t="s">
        <v>146</v>
      </c>
      <c r="D83" s="48"/>
      <c r="E83" s="86"/>
      <c r="F83" s="100"/>
      <c r="G83" s="126"/>
      <c r="L83" s="1"/>
      <c r="M83" s="9"/>
    </row>
    <row r="84" spans="1:13" ht="102">
      <c r="A84" s="125"/>
      <c r="B84" s="47"/>
      <c r="C84" s="43" t="s">
        <v>219</v>
      </c>
      <c r="D84" s="48"/>
      <c r="E84" s="86"/>
      <c r="F84" s="100"/>
      <c r="G84" s="126"/>
      <c r="L84" s="1"/>
      <c r="M84" s="9"/>
    </row>
    <row r="85" spans="1:13">
      <c r="A85" s="125"/>
      <c r="B85" s="47"/>
      <c r="C85" s="67" t="s">
        <v>149</v>
      </c>
      <c r="D85" s="93"/>
      <c r="E85" s="94"/>
      <c r="F85" s="100"/>
      <c r="G85" s="126"/>
      <c r="K85" s="31"/>
      <c r="L85" s="1"/>
      <c r="M85" s="9"/>
    </row>
    <row r="86" spans="1:13">
      <c r="A86" s="125"/>
      <c r="B86" s="47"/>
      <c r="C86" s="54" t="str">
        <f>DisFor(E86)</f>
        <v>8.5 · 76.25</v>
      </c>
      <c r="D86" s="57" t="s">
        <v>2</v>
      </c>
      <c r="E86" s="86">
        <f>8.5*76.25</f>
        <v>648.125</v>
      </c>
      <c r="F86" s="100"/>
      <c r="G86" s="126"/>
      <c r="L86" s="1"/>
      <c r="M86" s="9"/>
    </row>
    <row r="87" spans="1:13">
      <c r="A87" s="125"/>
      <c r="B87" s="53"/>
      <c r="C87" s="66" t="s">
        <v>215</v>
      </c>
      <c r="D87" s="93"/>
      <c r="E87" s="94"/>
      <c r="F87" s="100"/>
      <c r="G87" s="126"/>
      <c r="L87" s="1"/>
      <c r="M87" s="9"/>
    </row>
    <row r="88" spans="1:13">
      <c r="A88" s="125"/>
      <c r="B88" s="53"/>
      <c r="C88" s="54" t="str">
        <f>DisFor(E88)</f>
        <v>4 · 4.65 · 1.55</v>
      </c>
      <c r="D88" s="57" t="s">
        <v>2</v>
      </c>
      <c r="E88" s="86">
        <f>4*4.65*1.55</f>
        <v>28.830000000000002</v>
      </c>
      <c r="F88" s="100"/>
      <c r="G88" s="126"/>
      <c r="L88" s="1"/>
      <c r="M88" s="9"/>
    </row>
    <row r="89" spans="1:13">
      <c r="A89" s="125"/>
      <c r="B89" s="53"/>
      <c r="C89" s="66" t="s">
        <v>216</v>
      </c>
      <c r="D89" s="93"/>
      <c r="E89" s="94"/>
      <c r="F89" s="100"/>
      <c r="G89" s="126"/>
      <c r="L89" s="1"/>
      <c r="M89" s="9"/>
    </row>
    <row r="90" spans="1:13">
      <c r="A90" s="125"/>
      <c r="B90" s="53"/>
      <c r="C90" s="54" t="str">
        <f>DisFor(E90)</f>
        <v>2 · 0.5 · 6.4</v>
      </c>
      <c r="D90" s="57" t="s">
        <v>2</v>
      </c>
      <c r="E90" s="86">
        <f>2*0.5*6.4</f>
        <v>6.4</v>
      </c>
      <c r="F90" s="100"/>
      <c r="G90" s="126"/>
      <c r="L90" s="1"/>
      <c r="M90" s="9"/>
    </row>
    <row r="91" spans="1:13" ht="25.5">
      <c r="A91" s="125"/>
      <c r="B91" s="53"/>
      <c r="C91" s="66" t="s">
        <v>278</v>
      </c>
      <c r="D91" s="93"/>
      <c r="E91" s="94"/>
      <c r="F91" s="100"/>
      <c r="G91" s="126"/>
      <c r="L91" s="1"/>
      <c r="M91" s="9"/>
    </row>
    <row r="92" spans="1:13">
      <c r="A92" s="125"/>
      <c r="B92" s="53"/>
      <c r="C92" s="54" t="str">
        <f>DisFor(E92)</f>
        <v>1 · 1.15+2 · 1.1 · 1.15</v>
      </c>
      <c r="D92" s="57" t="s">
        <v>2</v>
      </c>
      <c r="E92" s="86">
        <f>1*1.15+2*1.1*1.15</f>
        <v>3.6799999999999997</v>
      </c>
      <c r="F92" s="100"/>
      <c r="G92" s="126"/>
      <c r="L92" s="1"/>
      <c r="M92" s="9"/>
    </row>
    <row r="93" spans="1:13">
      <c r="A93" s="125"/>
      <c r="B93" s="53"/>
      <c r="C93" s="66" t="s">
        <v>200</v>
      </c>
      <c r="D93" s="93"/>
      <c r="E93" s="94"/>
      <c r="F93" s="100"/>
      <c r="G93" s="126"/>
      <c r="L93" s="1"/>
      <c r="M93" s="9"/>
    </row>
    <row r="94" spans="1:13">
      <c r="A94" s="125"/>
      <c r="B94" s="53"/>
      <c r="C94" s="54" t="str">
        <f>DisFor(E94)</f>
        <v>4 · 8+3.5 · 8</v>
      </c>
      <c r="D94" s="57" t="s">
        <v>2</v>
      </c>
      <c r="E94" s="86">
        <f>4*8+3.5*8</f>
        <v>60</v>
      </c>
      <c r="F94" s="100"/>
      <c r="G94" s="126"/>
      <c r="L94" s="1"/>
      <c r="M94" s="9"/>
    </row>
    <row r="95" spans="1:13">
      <c r="A95" s="125"/>
      <c r="B95" s="53"/>
      <c r="C95" s="66" t="s">
        <v>201</v>
      </c>
      <c r="D95" s="93"/>
      <c r="E95" s="94"/>
      <c r="F95" s="100"/>
      <c r="G95" s="126"/>
      <c r="L95" s="1"/>
      <c r="M95" s="9"/>
    </row>
    <row r="96" spans="1:13">
      <c r="A96" s="125"/>
      <c r="B96" s="53"/>
      <c r="C96" s="54" t="str">
        <f>DisFor(E96)</f>
        <v>(5.8 · 6.7 · 2+0.8 · 6.7 · 2)+(5.8 · 5.7 · 2+0.8 · 5.7 · 2)</v>
      </c>
      <c r="D96" s="57" t="s">
        <v>2</v>
      </c>
      <c r="E96" s="86">
        <f>(5.8*6.7*2+0.8*6.7*2)+(5.8*5.7*2+0.8*5.7*2)</f>
        <v>163.68</v>
      </c>
      <c r="F96" s="100"/>
      <c r="G96" s="126"/>
      <c r="L96" s="1"/>
      <c r="M96" s="9"/>
    </row>
    <row r="97" spans="1:13">
      <c r="A97" s="125"/>
      <c r="B97" s="53"/>
      <c r="C97" s="66" t="s">
        <v>202</v>
      </c>
      <c r="D97" s="93"/>
      <c r="E97" s="94"/>
      <c r="F97" s="100"/>
      <c r="G97" s="126"/>
      <c r="L97" s="1"/>
      <c r="M97" s="9"/>
    </row>
    <row r="98" spans="1:13">
      <c r="A98" s="125"/>
      <c r="B98" s="53"/>
      <c r="C98" s="54" t="str">
        <f>DisFor(E98)</f>
        <v>165+172.2+165</v>
      </c>
      <c r="D98" s="57" t="s">
        <v>2</v>
      </c>
      <c r="E98" s="86">
        <f>165+172.2+165</f>
        <v>502.2</v>
      </c>
      <c r="F98" s="100"/>
      <c r="G98" s="126"/>
      <c r="L98" s="1"/>
      <c r="M98" s="9"/>
    </row>
    <row r="99" spans="1:13">
      <c r="A99" s="125"/>
      <c r="B99" s="53"/>
      <c r="C99" s="66" t="s">
        <v>210</v>
      </c>
      <c r="D99" s="93"/>
      <c r="E99" s="94"/>
      <c r="F99" s="100"/>
      <c r="G99" s="126"/>
      <c r="L99" s="1"/>
      <c r="M99" s="9"/>
    </row>
    <row r="100" spans="1:13">
      <c r="A100" s="125"/>
      <c r="B100" s="53"/>
      <c r="C100" s="54" t="str">
        <f>DisFor(E100)</f>
        <v>1.06 · 2.6 · 2 · 2 · 12+2.6 · 0.25 · 2 · 7</v>
      </c>
      <c r="D100" s="57" t="s">
        <v>2</v>
      </c>
      <c r="E100" s="86">
        <f>1.06*2.6*2*2*12+2.6*0.25*2*7</f>
        <v>141.38800000000001</v>
      </c>
      <c r="F100" s="100"/>
      <c r="G100" s="126"/>
      <c r="L100" s="1"/>
      <c r="M100" s="9"/>
    </row>
    <row r="101" spans="1:13">
      <c r="A101" s="125"/>
      <c r="B101" s="53"/>
      <c r="C101" s="66" t="s">
        <v>211</v>
      </c>
      <c r="D101" s="93"/>
      <c r="E101" s="94"/>
      <c r="F101" s="100"/>
      <c r="G101" s="126"/>
      <c r="L101" s="1"/>
      <c r="M101" s="9"/>
    </row>
    <row r="102" spans="1:13">
      <c r="A102" s="125"/>
      <c r="B102" s="53"/>
      <c r="C102" s="54" t="str">
        <f>DisFor(E102)</f>
        <v>5.2 · 2.6 · 16+6.5 · 2.6 · 8</v>
      </c>
      <c r="D102" s="57" t="s">
        <v>2</v>
      </c>
      <c r="E102" s="86">
        <f>5.2*2.6*16+6.5*2.6*8</f>
        <v>351.52000000000004</v>
      </c>
      <c r="F102" s="100"/>
      <c r="G102" s="126"/>
      <c r="L102" s="1"/>
      <c r="M102" s="9"/>
    </row>
    <row r="103" spans="1:13">
      <c r="A103" s="125"/>
      <c r="B103" s="53"/>
      <c r="C103" s="66" t="s">
        <v>212</v>
      </c>
      <c r="D103" s="93"/>
      <c r="E103" s="94"/>
      <c r="F103" s="100"/>
      <c r="G103" s="126"/>
      <c r="L103" s="1"/>
      <c r="M103" s="9"/>
    </row>
    <row r="104" spans="1:13">
      <c r="A104" s="125"/>
      <c r="B104" s="53"/>
      <c r="C104" s="54" t="str">
        <f>DisFor(E104)</f>
        <v>((4.6+3.3) · 0.5 · 1.3 · 2 · 4+(4.1+2.8) · 0.5 · 1.3 · 2 · 4) · 2</v>
      </c>
      <c r="D104" s="57" t="s">
        <v>2</v>
      </c>
      <c r="E104" s="86">
        <f>((4.6+3.3)*0.5*1.3*2*4+(4.1+2.8)*0.5*1.3*2*4)*2</f>
        <v>153.91999999999999</v>
      </c>
      <c r="F104" s="100"/>
      <c r="G104" s="126"/>
      <c r="L104" s="1"/>
      <c r="M104" s="9"/>
    </row>
    <row r="105" spans="1:13">
      <c r="A105" s="125"/>
      <c r="B105" s="53"/>
      <c r="C105" s="66" t="s">
        <v>204</v>
      </c>
      <c r="D105" s="93"/>
      <c r="E105" s="94"/>
      <c r="F105" s="100"/>
      <c r="G105" s="126"/>
      <c r="L105" s="1"/>
      <c r="M105" s="9"/>
    </row>
    <row r="106" spans="1:13">
      <c r="A106" s="125"/>
      <c r="B106" s="53"/>
      <c r="C106" s="54" t="str">
        <f>DisFor(E106)</f>
        <v>75.4 · 1.0305 · 2</v>
      </c>
      <c r="D106" s="57" t="s">
        <v>2</v>
      </c>
      <c r="E106" s="86">
        <f>75.4*1.0305*2</f>
        <v>155.39940000000001</v>
      </c>
      <c r="F106" s="100"/>
      <c r="G106" s="126"/>
      <c r="L106" s="1"/>
      <c r="M106" s="9"/>
    </row>
    <row r="107" spans="1:13">
      <c r="A107" s="125"/>
      <c r="B107" s="102" t="s">
        <v>25</v>
      </c>
      <c r="C107" s="54" t="s">
        <v>148</v>
      </c>
      <c r="D107" s="57" t="s">
        <v>2</v>
      </c>
      <c r="E107" s="86">
        <f>SUM(E86:E106)</f>
        <v>2215.1423999999997</v>
      </c>
      <c r="F107" s="100"/>
      <c r="G107" s="126"/>
      <c r="L107" s="1"/>
      <c r="M107" s="9"/>
    </row>
    <row r="108" spans="1:13" ht="25.5">
      <c r="A108" s="125">
        <v>18</v>
      </c>
      <c r="B108" s="47">
        <v>136</v>
      </c>
      <c r="C108" s="65" t="s">
        <v>167</v>
      </c>
      <c r="D108" s="57"/>
      <c r="E108" s="86"/>
      <c r="F108" s="100"/>
      <c r="G108" s="126"/>
      <c r="L108" s="1"/>
      <c r="M108" s="9"/>
    </row>
    <row r="109" spans="1:13" ht="25.5">
      <c r="A109" s="125"/>
      <c r="B109" s="47"/>
      <c r="C109" s="54" t="s">
        <v>169</v>
      </c>
      <c r="D109" s="57"/>
      <c r="E109" s="86"/>
      <c r="F109" s="100"/>
      <c r="G109" s="126"/>
      <c r="L109" s="1"/>
      <c r="M109" s="9"/>
    </row>
    <row r="110" spans="1:13">
      <c r="A110" s="125"/>
      <c r="B110" s="47"/>
      <c r="C110" s="54" t="str">
        <f>DisFor(E111)</f>
        <v>8.5 · 76.25</v>
      </c>
      <c r="D110" s="57"/>
      <c r="E110" s="86"/>
      <c r="F110" s="100"/>
      <c r="G110" s="126"/>
      <c r="L110" s="1"/>
      <c r="M110" s="9"/>
    </row>
    <row r="111" spans="1:13">
      <c r="A111" s="125"/>
      <c r="B111" s="53"/>
      <c r="C111" s="64" t="s">
        <v>168</v>
      </c>
      <c r="D111" s="78" t="s">
        <v>2</v>
      </c>
      <c r="E111" s="92">
        <f>8.5*76.25</f>
        <v>648.125</v>
      </c>
      <c r="F111" s="101"/>
      <c r="G111" s="128"/>
      <c r="L111" s="1"/>
      <c r="M111" s="9"/>
    </row>
    <row r="112" spans="1:13">
      <c r="A112" s="125">
        <v>19</v>
      </c>
      <c r="B112" s="47">
        <v>137</v>
      </c>
      <c r="C112" s="55" t="s">
        <v>217</v>
      </c>
      <c r="D112" s="57"/>
      <c r="E112" s="86"/>
      <c r="F112" s="100"/>
      <c r="G112" s="126"/>
      <c r="L112" s="1"/>
      <c r="M112" s="9"/>
    </row>
    <row r="113" spans="1:13" ht="76.5">
      <c r="A113" s="125"/>
      <c r="B113" s="47"/>
      <c r="C113" s="54" t="s">
        <v>218</v>
      </c>
      <c r="D113" s="57"/>
      <c r="E113" s="86"/>
      <c r="F113" s="100"/>
      <c r="G113" s="126"/>
      <c r="L113" s="1"/>
      <c r="M113" s="9"/>
    </row>
    <row r="114" spans="1:13">
      <c r="A114" s="125"/>
      <c r="B114" s="47"/>
      <c r="C114" s="54" t="s">
        <v>214</v>
      </c>
      <c r="D114" s="93"/>
      <c r="E114" s="94"/>
      <c r="F114" s="100"/>
      <c r="G114" s="126"/>
      <c r="L114" s="1"/>
      <c r="M114" s="9"/>
    </row>
    <row r="115" spans="1:13">
      <c r="A115" s="125"/>
      <c r="B115" s="53"/>
      <c r="C115" s="54" t="str">
        <f>DisFor(E115)</f>
        <v>75.4 · 0.4 · 3</v>
      </c>
      <c r="D115" s="57" t="s">
        <v>2</v>
      </c>
      <c r="E115" s="86">
        <f>75.4*0.4*3</f>
        <v>90.480000000000018</v>
      </c>
      <c r="F115" s="100"/>
      <c r="G115" s="126"/>
      <c r="L115" s="1"/>
      <c r="M115" s="9"/>
    </row>
    <row r="116" spans="1:13">
      <c r="A116" s="125"/>
      <c r="B116" s="47"/>
      <c r="C116" s="54" t="s">
        <v>220</v>
      </c>
      <c r="D116" s="93"/>
      <c r="E116" s="94"/>
      <c r="F116" s="100"/>
      <c r="G116" s="126"/>
      <c r="L116" s="1"/>
      <c r="M116" s="9"/>
    </row>
    <row r="117" spans="1:13">
      <c r="A117" s="125"/>
      <c r="B117" s="53"/>
      <c r="C117" s="54" t="str">
        <f>DisFor(E117)</f>
        <v>2.6 · 0.25 · 2 · 2</v>
      </c>
      <c r="D117" s="57" t="s">
        <v>2</v>
      </c>
      <c r="E117" s="86">
        <f>2.6*0.25*2*2</f>
        <v>2.6</v>
      </c>
      <c r="F117" s="100"/>
      <c r="G117" s="126"/>
      <c r="L117" s="1"/>
      <c r="M117" s="9"/>
    </row>
    <row r="118" spans="1:13">
      <c r="A118" s="125"/>
      <c r="B118" s="102" t="s">
        <v>25</v>
      </c>
      <c r="C118" s="54" t="s">
        <v>148</v>
      </c>
      <c r="D118" s="57" t="s">
        <v>2</v>
      </c>
      <c r="E118" s="86">
        <f>SUM(E113:E117)</f>
        <v>93.080000000000013</v>
      </c>
      <c r="F118" s="100"/>
      <c r="G118" s="126"/>
      <c r="L118" s="1"/>
      <c r="M118" s="9"/>
    </row>
    <row r="119" spans="1:13" ht="25.5">
      <c r="A119" s="125">
        <v>20</v>
      </c>
      <c r="B119" s="47">
        <v>138</v>
      </c>
      <c r="C119" s="55" t="s">
        <v>222</v>
      </c>
      <c r="D119" s="48"/>
      <c r="E119" s="86"/>
      <c r="F119" s="100"/>
      <c r="G119" s="126"/>
      <c r="L119" s="1"/>
      <c r="M119" s="9"/>
    </row>
    <row r="120" spans="1:13" ht="76.5">
      <c r="A120" s="125"/>
      <c r="B120" s="47"/>
      <c r="C120" s="43" t="s">
        <v>223</v>
      </c>
      <c r="D120" s="48"/>
      <c r="E120" s="86"/>
      <c r="F120" s="100"/>
      <c r="G120" s="126"/>
      <c r="L120" s="1"/>
      <c r="M120" s="9"/>
    </row>
    <row r="121" spans="1:13">
      <c r="A121" s="125"/>
      <c r="B121" s="53"/>
      <c r="C121" s="66" t="s">
        <v>200</v>
      </c>
      <c r="D121" s="93"/>
      <c r="E121" s="94"/>
      <c r="F121" s="100"/>
      <c r="G121" s="126"/>
      <c r="L121" s="1"/>
      <c r="M121" s="9"/>
    </row>
    <row r="122" spans="1:13">
      <c r="A122" s="125"/>
      <c r="B122" s="53"/>
      <c r="C122" s="54" t="str">
        <f>DisFor(E122)</f>
        <v>4 · 8+3.5 · 8</v>
      </c>
      <c r="D122" s="57" t="s">
        <v>2</v>
      </c>
      <c r="E122" s="86">
        <f>4*8+3.5*8</f>
        <v>60</v>
      </c>
      <c r="F122" s="100"/>
      <c r="G122" s="126"/>
      <c r="L122" s="1"/>
      <c r="M122" s="9"/>
    </row>
    <row r="123" spans="1:13">
      <c r="A123" s="125"/>
      <c r="B123" s="53"/>
      <c r="C123" s="66" t="s">
        <v>201</v>
      </c>
      <c r="D123" s="93"/>
      <c r="E123" s="94"/>
      <c r="F123" s="100"/>
      <c r="G123" s="126"/>
      <c r="L123" s="1"/>
      <c r="M123" s="9"/>
    </row>
    <row r="124" spans="1:13">
      <c r="A124" s="125"/>
      <c r="B124" s="53"/>
      <c r="C124" s="54" t="str">
        <f>DisFor(E124)</f>
        <v>(5.8 · 6.7 · 2+0.8 · 6.7 · 2)+(5.8 · 5.7 · 2+0.8 · 5.7 · 2)</v>
      </c>
      <c r="D124" s="57" t="s">
        <v>2</v>
      </c>
      <c r="E124" s="86">
        <f>(5.8*6.7*2+0.8*6.7*2)+(5.8*5.7*2+0.8*5.7*2)</f>
        <v>163.68</v>
      </c>
      <c r="F124" s="100"/>
      <c r="G124" s="126"/>
      <c r="L124" s="1"/>
      <c r="M124" s="9"/>
    </row>
    <row r="125" spans="1:13">
      <c r="A125" s="125"/>
      <c r="B125" s="53"/>
      <c r="C125" s="66" t="s">
        <v>202</v>
      </c>
      <c r="D125" s="93"/>
      <c r="E125" s="94"/>
      <c r="F125" s="100"/>
      <c r="G125" s="126"/>
      <c r="L125" s="1"/>
      <c r="M125" s="9"/>
    </row>
    <row r="126" spans="1:13">
      <c r="A126" s="125"/>
      <c r="B126" s="53"/>
      <c r="C126" s="54" t="str">
        <f>DisFor(E126)</f>
        <v>165+172.2+165</v>
      </c>
      <c r="D126" s="57" t="s">
        <v>2</v>
      </c>
      <c r="E126" s="86">
        <f>165+172.2+165</f>
        <v>502.2</v>
      </c>
      <c r="F126" s="100"/>
      <c r="G126" s="126"/>
      <c r="L126" s="1"/>
      <c r="M126" s="9"/>
    </row>
    <row r="127" spans="1:13">
      <c r="A127" s="125"/>
      <c r="B127" s="53"/>
      <c r="C127" s="66" t="s">
        <v>224</v>
      </c>
      <c r="D127" s="93"/>
      <c r="E127" s="94"/>
      <c r="F127" s="100"/>
      <c r="G127" s="126"/>
      <c r="L127" s="1"/>
      <c r="M127" s="9"/>
    </row>
    <row r="128" spans="1:13">
      <c r="A128" s="125"/>
      <c r="B128" s="53"/>
      <c r="C128" s="54" t="str">
        <f>DisFor(E128)</f>
        <v>75.4 · 0.4 · 3</v>
      </c>
      <c r="D128" s="57" t="s">
        <v>2</v>
      </c>
      <c r="E128" s="86">
        <f>75.4*0.4*3</f>
        <v>90.480000000000018</v>
      </c>
      <c r="F128" s="100"/>
      <c r="G128" s="126"/>
      <c r="L128" s="1"/>
      <c r="M128" s="9"/>
    </row>
    <row r="129" spans="1:13">
      <c r="A129" s="125"/>
      <c r="B129" s="53"/>
      <c r="C129" s="66" t="s">
        <v>210</v>
      </c>
      <c r="D129" s="93"/>
      <c r="E129" s="94"/>
      <c r="F129" s="100"/>
      <c r="G129" s="126"/>
      <c r="L129" s="1"/>
      <c r="M129" s="9"/>
    </row>
    <row r="130" spans="1:13">
      <c r="A130" s="125"/>
      <c r="B130" s="53"/>
      <c r="C130" s="54" t="str">
        <f>DisFor(E130)</f>
        <v>1.06 · 2.6 · 2 · 2 · 12+2.6 · 0.25 · 2 · 9</v>
      </c>
      <c r="D130" s="57" t="s">
        <v>2</v>
      </c>
      <c r="E130" s="86">
        <f>1.06*2.6*2*2*12+2.6*0.25*2*9</f>
        <v>143.988</v>
      </c>
      <c r="F130" s="100"/>
      <c r="G130" s="126"/>
      <c r="L130" s="1"/>
      <c r="M130" s="9"/>
    </row>
    <row r="131" spans="1:13">
      <c r="A131" s="125"/>
      <c r="B131" s="53"/>
      <c r="C131" s="66" t="s">
        <v>211</v>
      </c>
      <c r="D131" s="93"/>
      <c r="E131" s="94"/>
      <c r="F131" s="100"/>
      <c r="G131" s="126"/>
      <c r="L131" s="1"/>
      <c r="M131" s="9"/>
    </row>
    <row r="132" spans="1:13">
      <c r="A132" s="125"/>
      <c r="B132" s="53"/>
      <c r="C132" s="54" t="str">
        <f>DisFor(E132)</f>
        <v>5.2 · 2.6 · 16+6.5 · 2.6 · 8</v>
      </c>
      <c r="D132" s="57" t="s">
        <v>2</v>
      </c>
      <c r="E132" s="86">
        <f>5.2*2.6*16+6.5*2.6*8</f>
        <v>351.52000000000004</v>
      </c>
      <c r="F132" s="100"/>
      <c r="G132" s="126"/>
      <c r="L132" s="1"/>
      <c r="M132" s="9"/>
    </row>
    <row r="133" spans="1:13">
      <c r="A133" s="125"/>
      <c r="B133" s="53"/>
      <c r="C133" s="66" t="s">
        <v>212</v>
      </c>
      <c r="D133" s="93"/>
      <c r="E133" s="94"/>
      <c r="F133" s="100"/>
      <c r="G133" s="126"/>
      <c r="L133" s="1"/>
      <c r="M133" s="9"/>
    </row>
    <row r="134" spans="1:13">
      <c r="A134" s="125"/>
      <c r="B134" s="53"/>
      <c r="C134" s="54" t="str">
        <f>DisFor(E134)</f>
        <v>((4.6+3.3) · 0.5 · 1.3 · 2 · 4+(4.1+2.8) · 0.5 · 1.3 · 2 · 4) · 2</v>
      </c>
      <c r="D134" s="57" t="s">
        <v>2</v>
      </c>
      <c r="E134" s="86">
        <f>((4.6+3.3)*0.5*1.3*2*4+(4.1+2.8)*0.5*1.3*2*4)*2</f>
        <v>153.91999999999999</v>
      </c>
      <c r="F134" s="100"/>
      <c r="G134" s="126"/>
      <c r="L134" s="1"/>
      <c r="M134" s="9"/>
    </row>
    <row r="135" spans="1:13">
      <c r="A135" s="125"/>
      <c r="B135" s="53"/>
      <c r="C135" s="66" t="s">
        <v>204</v>
      </c>
      <c r="D135" s="93"/>
      <c r="E135" s="94"/>
      <c r="F135" s="100"/>
      <c r="G135" s="126"/>
      <c r="L135" s="1"/>
      <c r="M135" s="9"/>
    </row>
    <row r="136" spans="1:13">
      <c r="A136" s="125"/>
      <c r="B136" s="53"/>
      <c r="C136" s="54" t="str">
        <f>DisFor(E136)</f>
        <v>75.4 · 1.0305 · 2</v>
      </c>
      <c r="D136" s="57" t="s">
        <v>2</v>
      </c>
      <c r="E136" s="86">
        <f>75.4*1.0305*2</f>
        <v>155.39940000000001</v>
      </c>
      <c r="F136" s="100"/>
      <c r="G136" s="126"/>
      <c r="L136" s="1"/>
      <c r="M136" s="9"/>
    </row>
    <row r="137" spans="1:13">
      <c r="A137" s="125"/>
      <c r="B137" s="102" t="s">
        <v>25</v>
      </c>
      <c r="C137" s="54" t="s">
        <v>148</v>
      </c>
      <c r="D137" s="57" t="s">
        <v>2</v>
      </c>
      <c r="E137" s="86">
        <f>SUM(E122:E136)</f>
        <v>1621.1874</v>
      </c>
      <c r="F137" s="100"/>
      <c r="G137" s="126"/>
      <c r="L137" s="1"/>
      <c r="M137" s="9"/>
    </row>
    <row r="138" spans="1:13" ht="25.5">
      <c r="A138" s="125">
        <v>21</v>
      </c>
      <c r="B138" s="47">
        <v>140</v>
      </c>
      <c r="C138" s="52" t="s">
        <v>151</v>
      </c>
      <c r="D138" s="57"/>
      <c r="E138" s="86"/>
      <c r="F138" s="100"/>
      <c r="G138" s="126"/>
      <c r="L138" s="1"/>
      <c r="M138" s="9"/>
    </row>
    <row r="139" spans="1:13">
      <c r="A139" s="131"/>
      <c r="B139" s="155"/>
      <c r="C139" s="64" t="s">
        <v>346</v>
      </c>
      <c r="D139" s="78"/>
      <c r="E139" s="92"/>
      <c r="F139" s="101"/>
      <c r="G139" s="128"/>
      <c r="L139" s="1"/>
      <c r="M139" s="9"/>
    </row>
    <row r="140" spans="1:13">
      <c r="A140" s="131"/>
      <c r="B140" s="155"/>
      <c r="C140" s="64" t="str">
        <f>DisFor(E141)</f>
        <v>8.5 · 76.25</v>
      </c>
      <c r="D140" s="78"/>
      <c r="E140" s="92"/>
      <c r="F140" s="101"/>
      <c r="G140" s="128"/>
      <c r="L140" s="1"/>
      <c r="M140" s="9"/>
    </row>
    <row r="141" spans="1:13">
      <c r="A141" s="131"/>
      <c r="B141" s="155"/>
      <c r="C141" s="64" t="s">
        <v>148</v>
      </c>
      <c r="D141" s="78" t="s">
        <v>2</v>
      </c>
      <c r="E141" s="92">
        <f>8.5*76.25</f>
        <v>648.125</v>
      </c>
      <c r="F141" s="101"/>
      <c r="G141" s="128"/>
      <c r="L141" s="1"/>
      <c r="M141" s="9"/>
    </row>
    <row r="142" spans="1:13">
      <c r="A142" s="125">
        <v>22</v>
      </c>
      <c r="B142" s="47">
        <v>150</v>
      </c>
      <c r="C142" s="65" t="s">
        <v>150</v>
      </c>
      <c r="D142" s="48"/>
      <c r="E142" s="86"/>
      <c r="F142" s="102"/>
      <c r="G142" s="126"/>
      <c r="L142" s="1"/>
      <c r="M142" s="9"/>
    </row>
    <row r="143" spans="1:13">
      <c r="A143" s="125"/>
      <c r="B143" s="53"/>
      <c r="C143" s="54" t="str">
        <f>DisFor(E144)</f>
        <v>0.3 · 0.4 · 0.84 · 3</v>
      </c>
      <c r="D143" s="48"/>
      <c r="E143" s="86"/>
      <c r="F143" s="100"/>
      <c r="G143" s="126"/>
      <c r="L143" s="1"/>
      <c r="M143" s="9"/>
    </row>
    <row r="144" spans="1:13">
      <c r="A144" s="125"/>
      <c r="B144" s="53"/>
      <c r="C144" s="54" t="s">
        <v>39</v>
      </c>
      <c r="D144" s="57" t="s">
        <v>0</v>
      </c>
      <c r="E144" s="86">
        <f>0.3*0.4*0.84*3</f>
        <v>0.30239999999999995</v>
      </c>
      <c r="F144" s="100"/>
      <c r="G144" s="126"/>
      <c r="L144" s="1"/>
      <c r="M144" s="9"/>
    </row>
    <row r="145" spans="1:13">
      <c r="A145" s="125">
        <v>23</v>
      </c>
      <c r="B145" s="47">
        <v>160</v>
      </c>
      <c r="C145" s="65" t="s">
        <v>142</v>
      </c>
      <c r="D145" s="57"/>
      <c r="E145" s="86"/>
      <c r="F145" s="100"/>
      <c r="G145" s="126"/>
      <c r="L145" s="1"/>
      <c r="M145" s="9"/>
    </row>
    <row r="146" spans="1:13" ht="39.75" customHeight="1">
      <c r="A146" s="125"/>
      <c r="B146" s="47"/>
      <c r="C146" s="67" t="s">
        <v>291</v>
      </c>
      <c r="D146" s="418" t="s">
        <v>292</v>
      </c>
      <c r="E146" s="418"/>
      <c r="F146" s="418"/>
      <c r="G146" s="126"/>
      <c r="L146" s="1"/>
      <c r="M146" s="9"/>
    </row>
    <row r="147" spans="1:13">
      <c r="A147" s="125"/>
      <c r="B147" s="47"/>
      <c r="C147" s="67" t="s">
        <v>145</v>
      </c>
      <c r="D147" s="418" t="s">
        <v>144</v>
      </c>
      <c r="E147" s="418"/>
      <c r="F147" s="418"/>
      <c r="G147" s="126"/>
      <c r="L147" s="1"/>
      <c r="M147" s="9"/>
    </row>
    <row r="148" spans="1:13" ht="38.25">
      <c r="A148" s="125"/>
      <c r="B148" s="53"/>
      <c r="C148" s="54" t="s">
        <v>274</v>
      </c>
      <c r="D148" s="57"/>
      <c r="E148" s="86"/>
      <c r="F148" s="100"/>
      <c r="G148" s="126"/>
      <c r="L148" s="1"/>
      <c r="M148" s="9"/>
    </row>
    <row r="149" spans="1:13" ht="15.75" thickBot="1">
      <c r="A149" s="132"/>
      <c r="B149" s="156"/>
      <c r="C149" s="133" t="s">
        <v>15</v>
      </c>
      <c r="D149" s="111" t="s">
        <v>16</v>
      </c>
      <c r="E149" s="134">
        <v>1</v>
      </c>
      <c r="F149" s="135"/>
      <c r="G149" s="136"/>
      <c r="L149" s="1"/>
      <c r="M149" s="9"/>
    </row>
    <row r="150" spans="1:13" s="2" customFormat="1" ht="15.75" thickBot="1">
      <c r="A150" s="353"/>
      <c r="B150" s="364"/>
      <c r="C150" s="143"/>
      <c r="D150" s="146"/>
      <c r="E150" s="362"/>
      <c r="F150" s="360" t="s">
        <v>41</v>
      </c>
      <c r="G150" s="322"/>
      <c r="L150" s="1"/>
      <c r="M150" s="9"/>
    </row>
    <row r="151" spans="1:13" ht="15.75" thickBot="1">
      <c r="A151" s="115"/>
      <c r="B151" s="160"/>
      <c r="C151" s="116"/>
      <c r="D151" s="60"/>
      <c r="E151" s="117"/>
      <c r="F151" s="118"/>
      <c r="G151" s="118"/>
      <c r="L151" s="1"/>
      <c r="M151" s="9"/>
    </row>
    <row r="152" spans="1:13" s="2" customFormat="1" ht="15.75" thickBot="1">
      <c r="A152" s="353"/>
      <c r="B152" s="140" t="s">
        <v>95</v>
      </c>
      <c r="C152" s="354" t="s">
        <v>122</v>
      </c>
      <c r="D152" s="146"/>
      <c r="E152" s="355"/>
      <c r="F152" s="363"/>
      <c r="G152" s="322"/>
      <c r="L152" s="1"/>
      <c r="M152" s="9"/>
    </row>
    <row r="153" spans="1:13" ht="25.5">
      <c r="A153" s="147">
        <v>24</v>
      </c>
      <c r="B153" s="38">
        <v>202</v>
      </c>
      <c r="C153" s="112" t="s">
        <v>124</v>
      </c>
      <c r="D153" s="113"/>
      <c r="E153" s="91"/>
      <c r="F153" s="114"/>
      <c r="G153" s="148"/>
      <c r="L153" s="1"/>
      <c r="M153" s="9"/>
    </row>
    <row r="154" spans="1:13" ht="38.25">
      <c r="A154" s="125"/>
      <c r="B154" s="161"/>
      <c r="C154" s="66" t="s">
        <v>125</v>
      </c>
      <c r="D154" s="57"/>
      <c r="E154" s="95"/>
      <c r="F154" s="87"/>
      <c r="G154" s="149"/>
      <c r="L154" s="1"/>
      <c r="M154" s="9"/>
    </row>
    <row r="155" spans="1:13">
      <c r="A155" s="125"/>
      <c r="B155" s="161"/>
      <c r="C155" s="54" t="str">
        <f>DisFor(E156)</f>
        <v>2 · 6.4 · 4.8 · 4</v>
      </c>
      <c r="D155" s="57"/>
      <c r="E155" s="95"/>
      <c r="F155" s="87"/>
      <c r="G155" s="149"/>
      <c r="L155" s="1"/>
      <c r="M155" s="9"/>
    </row>
    <row r="156" spans="1:13">
      <c r="A156" s="125"/>
      <c r="B156" s="53"/>
      <c r="C156" s="54" t="s">
        <v>123</v>
      </c>
      <c r="D156" s="57" t="s">
        <v>0</v>
      </c>
      <c r="E156" s="86">
        <f>2*6.4*4.8*4</f>
        <v>245.76</v>
      </c>
      <c r="F156" s="100"/>
      <c r="G156" s="128"/>
      <c r="L156" s="1"/>
      <c r="M156" s="9"/>
    </row>
    <row r="157" spans="1:13">
      <c r="A157" s="125">
        <v>25</v>
      </c>
      <c r="B157" s="47">
        <v>206</v>
      </c>
      <c r="C157" s="70" t="s">
        <v>126</v>
      </c>
      <c r="D157" s="57"/>
      <c r="E157" s="86"/>
      <c r="F157" s="100"/>
      <c r="G157" s="128"/>
      <c r="L157" s="1"/>
      <c r="M157" s="9"/>
    </row>
    <row r="158" spans="1:13" ht="38.25">
      <c r="A158" s="125"/>
      <c r="B158" s="53"/>
      <c r="C158" s="66" t="s">
        <v>127</v>
      </c>
      <c r="D158" s="57"/>
      <c r="E158" s="86"/>
      <c r="F158" s="100"/>
      <c r="G158" s="128"/>
      <c r="L158" s="1"/>
      <c r="M158" s="9"/>
    </row>
    <row r="159" spans="1:13">
      <c r="A159" s="125"/>
      <c r="B159" s="53"/>
      <c r="C159" s="54" t="str">
        <f>DisFor(E160)</f>
        <v>2 · 6.4 · 3.8 · 4</v>
      </c>
      <c r="D159" s="57"/>
      <c r="E159" s="86"/>
      <c r="F159" s="100"/>
      <c r="G159" s="128"/>
      <c r="L159" s="1"/>
      <c r="M159" s="9"/>
    </row>
    <row r="160" spans="1:13" ht="15.75" thickBot="1">
      <c r="A160" s="132"/>
      <c r="B160" s="162"/>
      <c r="C160" s="110" t="s">
        <v>128</v>
      </c>
      <c r="D160" s="111" t="s">
        <v>0</v>
      </c>
      <c r="E160" s="134">
        <f>2*6.4*3.8*4</f>
        <v>194.56</v>
      </c>
      <c r="F160" s="135"/>
      <c r="G160" s="396"/>
      <c r="H160" s="30"/>
      <c r="L160" s="1"/>
      <c r="M160" s="9"/>
    </row>
    <row r="161" spans="1:13" s="2" customFormat="1" ht="15.75" thickBot="1">
      <c r="A161" s="353"/>
      <c r="B161" s="364"/>
      <c r="C161" s="143"/>
      <c r="D161" s="146"/>
      <c r="E161" s="362"/>
      <c r="F161" s="360" t="s">
        <v>129</v>
      </c>
      <c r="G161" s="397"/>
      <c r="H161" s="365"/>
      <c r="L161" s="1"/>
      <c r="M161" s="9"/>
    </row>
    <row r="162" spans="1:13" ht="15.75" thickBot="1">
      <c r="A162" s="115"/>
      <c r="B162" s="160"/>
      <c r="C162" s="116"/>
      <c r="D162" s="60"/>
      <c r="E162" s="117"/>
      <c r="F162" s="118"/>
      <c r="G162" s="118"/>
      <c r="H162" s="30"/>
      <c r="L162" s="1"/>
      <c r="M162" s="9"/>
    </row>
    <row r="163" spans="1:13" s="2" customFormat="1" ht="15.75" thickBot="1">
      <c r="A163" s="353"/>
      <c r="B163" s="140" t="s">
        <v>42</v>
      </c>
      <c r="C163" s="354" t="s">
        <v>43</v>
      </c>
      <c r="D163" s="146"/>
      <c r="E163" s="355"/>
      <c r="F163" s="363"/>
      <c r="G163" s="322"/>
      <c r="L163" s="3"/>
      <c r="M163" s="3"/>
    </row>
    <row r="164" spans="1:13" ht="38.25">
      <c r="A164" s="125">
        <v>26</v>
      </c>
      <c r="B164" s="47">
        <v>301</v>
      </c>
      <c r="C164" s="70" t="s">
        <v>193</v>
      </c>
      <c r="D164" s="57"/>
      <c r="E164" s="86"/>
      <c r="F164" s="100"/>
      <c r="G164" s="126"/>
      <c r="L164" s="1"/>
      <c r="M164" s="9"/>
    </row>
    <row r="165" spans="1:13" ht="127.5">
      <c r="A165" s="125"/>
      <c r="B165" s="53"/>
      <c r="C165" s="49" t="s">
        <v>194</v>
      </c>
      <c r="D165" s="57"/>
      <c r="E165" s="86"/>
      <c r="F165" s="100"/>
      <c r="G165" s="126"/>
      <c r="L165" s="1"/>
      <c r="M165" s="9"/>
    </row>
    <row r="166" spans="1:13">
      <c r="A166" s="125"/>
      <c r="B166" s="53"/>
      <c r="C166" s="54" t="str">
        <f>DisFor(E167)</f>
        <v>75.4 · 9</v>
      </c>
      <c r="D166" s="57"/>
      <c r="E166" s="86"/>
      <c r="F166" s="100"/>
      <c r="G166" s="126"/>
      <c r="L166" s="1"/>
      <c r="M166" s="9"/>
    </row>
    <row r="167" spans="1:13" ht="27">
      <c r="A167" s="125"/>
      <c r="B167" s="163"/>
      <c r="C167" s="43" t="s">
        <v>196</v>
      </c>
      <c r="D167" s="57" t="s">
        <v>2</v>
      </c>
      <c r="E167" s="86">
        <f>75.4*9</f>
        <v>678.6</v>
      </c>
      <c r="F167" s="100"/>
      <c r="G167" s="126"/>
      <c r="H167" s="30"/>
      <c r="L167" s="1"/>
      <c r="M167" s="9"/>
    </row>
    <row r="168" spans="1:13" ht="38.25">
      <c r="A168" s="125">
        <v>27</v>
      </c>
      <c r="B168" s="47">
        <v>302</v>
      </c>
      <c r="C168" s="70" t="s">
        <v>313</v>
      </c>
      <c r="D168" s="57"/>
      <c r="E168" s="86"/>
      <c r="F168" s="100"/>
      <c r="G168" s="126"/>
      <c r="L168" s="1"/>
      <c r="M168" s="9"/>
    </row>
    <row r="169" spans="1:13" ht="89.25">
      <c r="A169" s="125"/>
      <c r="B169" s="53"/>
      <c r="C169" s="49" t="s">
        <v>195</v>
      </c>
      <c r="D169" s="57"/>
      <c r="E169" s="86"/>
      <c r="F169" s="100"/>
      <c r="G169" s="126"/>
      <c r="L169" s="1"/>
      <c r="M169" s="9"/>
    </row>
    <row r="170" spans="1:13" ht="36" customHeight="1">
      <c r="A170" s="125"/>
      <c r="B170" s="53"/>
      <c r="C170" s="54" t="str">
        <f>DisFor(E171)</f>
        <v>4 · 8+3.5 · 8+(5.8 · 6.7 · 2+0.8 · 6.7 · 2)+(5.8 · 5.7 · 2+0.8 · 5.7 · 2)</v>
      </c>
      <c r="D170" s="57"/>
      <c r="E170" s="86"/>
      <c r="F170" s="100"/>
      <c r="G170" s="126"/>
      <c r="L170" s="1"/>
      <c r="M170" s="9"/>
    </row>
    <row r="171" spans="1:13" ht="27.75" thickBot="1">
      <c r="A171" s="132"/>
      <c r="B171" s="162"/>
      <c r="C171" s="145" t="s">
        <v>197</v>
      </c>
      <c r="D171" s="111" t="s">
        <v>2</v>
      </c>
      <c r="E171" s="134">
        <f>4*8+3.5*8+(5.8*6.7*2+0.8*6.7*2)+(5.8*5.7*2+0.8*5.7*2)</f>
        <v>223.68</v>
      </c>
      <c r="F171" s="135"/>
      <c r="G171" s="136"/>
      <c r="H171" s="30"/>
      <c r="L171" s="1"/>
      <c r="M171" s="9"/>
    </row>
    <row r="172" spans="1:13" s="2" customFormat="1" ht="15.75" thickBot="1">
      <c r="A172" s="353"/>
      <c r="B172" s="356"/>
      <c r="C172" s="358"/>
      <c r="D172" s="146"/>
      <c r="E172" s="362"/>
      <c r="F172" s="360" t="s">
        <v>162</v>
      </c>
      <c r="G172" s="322"/>
    </row>
    <row r="173" spans="1:13" s="2" customFormat="1" ht="15.75" thickBot="1">
      <c r="A173" s="115"/>
      <c r="B173" s="98"/>
      <c r="C173" s="74"/>
      <c r="D173" s="60"/>
      <c r="E173" s="117"/>
      <c r="F173" s="118"/>
      <c r="G173" s="118"/>
    </row>
    <row r="174" spans="1:13" s="2" customFormat="1" ht="15.75" thickBot="1">
      <c r="A174" s="353"/>
      <c r="B174" s="140" t="s">
        <v>44</v>
      </c>
      <c r="C174" s="354" t="s">
        <v>45</v>
      </c>
      <c r="D174" s="146"/>
      <c r="E174" s="355"/>
      <c r="F174" s="356"/>
      <c r="G174" s="357"/>
      <c r="L174" s="3"/>
      <c r="M174" s="3"/>
    </row>
    <row r="175" spans="1:13" s="2" customFormat="1">
      <c r="A175" s="236"/>
      <c r="B175" s="164" t="s">
        <v>46</v>
      </c>
      <c r="C175" s="230" t="s">
        <v>47</v>
      </c>
      <c r="D175" s="60"/>
      <c r="E175" s="89"/>
      <c r="F175" s="98"/>
      <c r="G175" s="237"/>
      <c r="L175" s="3"/>
      <c r="M175" s="3"/>
    </row>
    <row r="176" spans="1:13" s="2" customFormat="1" ht="25.5">
      <c r="A176" s="125">
        <v>28</v>
      </c>
      <c r="B176" s="47">
        <v>512</v>
      </c>
      <c r="C176" s="52" t="s">
        <v>111</v>
      </c>
      <c r="D176" s="57"/>
      <c r="E176" s="86"/>
      <c r="F176" s="53"/>
      <c r="G176" s="171"/>
      <c r="L176" s="3"/>
      <c r="M176" s="3"/>
    </row>
    <row r="177" spans="1:13" s="2" customFormat="1" ht="25.5">
      <c r="A177" s="125"/>
      <c r="B177" s="47"/>
      <c r="C177" s="54" t="s">
        <v>112</v>
      </c>
      <c r="D177" s="57"/>
      <c r="E177" s="86"/>
      <c r="F177" s="53"/>
      <c r="G177" s="171"/>
      <c r="L177" s="3"/>
      <c r="M177" s="3"/>
    </row>
    <row r="178" spans="1:13" s="2" customFormat="1">
      <c r="A178" s="125"/>
      <c r="B178" s="47"/>
      <c r="C178" s="54" t="str">
        <f>DisFor(E179)</f>
        <v>2 · 3.6 · 6.3</v>
      </c>
      <c r="D178" s="57"/>
      <c r="E178" s="86"/>
      <c r="F178" s="53"/>
      <c r="G178" s="171"/>
      <c r="L178" s="3"/>
      <c r="M178" s="3"/>
    </row>
    <row r="179" spans="1:13" s="2" customFormat="1">
      <c r="A179" s="125"/>
      <c r="B179" s="47"/>
      <c r="C179" s="63" t="s">
        <v>113</v>
      </c>
      <c r="D179" s="57" t="s">
        <v>2</v>
      </c>
      <c r="E179" s="86">
        <f>2*3.6*6.3</f>
        <v>45.36</v>
      </c>
      <c r="F179" s="100"/>
      <c r="G179" s="126"/>
      <c r="L179" s="3"/>
      <c r="M179" s="3"/>
    </row>
    <row r="180" spans="1:13" s="2" customFormat="1" ht="25.5">
      <c r="A180" s="125">
        <v>29</v>
      </c>
      <c r="B180" s="47">
        <v>520</v>
      </c>
      <c r="C180" s="71" t="s">
        <v>48</v>
      </c>
      <c r="D180" s="57"/>
      <c r="E180" s="86"/>
      <c r="F180" s="53"/>
      <c r="G180" s="171"/>
      <c r="L180" s="3"/>
      <c r="M180" s="3"/>
    </row>
    <row r="181" spans="1:13" s="2" customFormat="1">
      <c r="A181" s="125"/>
      <c r="B181" s="53"/>
      <c r="C181" s="71" t="s">
        <v>165</v>
      </c>
      <c r="D181" s="57"/>
      <c r="E181" s="86">
        <v>1</v>
      </c>
      <c r="F181" s="53"/>
      <c r="G181" s="171"/>
      <c r="L181" s="3"/>
      <c r="M181" s="3"/>
    </row>
    <row r="182" spans="1:13" s="2" customFormat="1">
      <c r="A182" s="125"/>
      <c r="B182" s="53"/>
      <c r="C182" s="71" t="s">
        <v>166</v>
      </c>
      <c r="D182" s="57"/>
      <c r="E182" s="86">
        <f>4*4*0.15+1.5*4*0.15</f>
        <v>3.3</v>
      </c>
      <c r="F182" s="53"/>
      <c r="G182" s="171"/>
      <c r="L182" s="3"/>
      <c r="M182" s="3"/>
    </row>
    <row r="183" spans="1:13" s="2" customFormat="1">
      <c r="A183" s="132"/>
      <c r="B183" s="156"/>
      <c r="C183" s="166" t="s">
        <v>49</v>
      </c>
      <c r="D183" s="111" t="s">
        <v>0</v>
      </c>
      <c r="E183" s="134">
        <f>E181+E182</f>
        <v>4.3</v>
      </c>
      <c r="F183" s="135"/>
      <c r="G183" s="136"/>
      <c r="L183" s="3"/>
      <c r="M183" s="3"/>
    </row>
    <row r="184" spans="1:13" s="2" customFormat="1">
      <c r="A184" s="238"/>
      <c r="B184" s="231" t="s">
        <v>50</v>
      </c>
      <c r="C184" s="232" t="s">
        <v>51</v>
      </c>
      <c r="D184" s="233"/>
      <c r="E184" s="234"/>
      <c r="F184" s="235"/>
      <c r="G184" s="239"/>
      <c r="L184" s="3"/>
      <c r="M184" s="3"/>
    </row>
    <row r="185" spans="1:13" s="2" customFormat="1" ht="25.5">
      <c r="A185" s="147">
        <v>30</v>
      </c>
      <c r="B185" s="38">
        <v>553</v>
      </c>
      <c r="C185" s="39" t="s">
        <v>158</v>
      </c>
      <c r="D185" s="90"/>
      <c r="E185" s="91"/>
      <c r="F185" s="150"/>
      <c r="G185" s="170"/>
      <c r="L185" s="3"/>
      <c r="M185" s="3"/>
    </row>
    <row r="186" spans="1:13" s="2" customFormat="1" ht="38.25">
      <c r="A186" s="125"/>
      <c r="B186" s="53"/>
      <c r="C186" s="71" t="s">
        <v>160</v>
      </c>
      <c r="D186" s="57"/>
      <c r="E186" s="86"/>
      <c r="F186" s="53"/>
      <c r="G186" s="171"/>
      <c r="L186" s="3"/>
      <c r="M186" s="3"/>
    </row>
    <row r="187" spans="1:13" s="2" customFormat="1">
      <c r="A187" s="125"/>
      <c r="B187" s="53"/>
      <c r="C187" s="54" t="str">
        <f>DisFor(E187)</f>
        <v>76.2*(2 · 1.45 · 0.125+5.6 · 0.1)</v>
      </c>
      <c r="D187" s="85" t="s">
        <v>0</v>
      </c>
      <c r="E187" s="86">
        <f>76.2*(2*1.45*0.125+5.6*0.1)</f>
        <v>70.294499999999999</v>
      </c>
      <c r="F187" s="100"/>
      <c r="G187" s="126"/>
      <c r="L187" s="3"/>
      <c r="M187" s="3"/>
    </row>
    <row r="188" spans="1:13" s="2" customFormat="1">
      <c r="A188" s="125"/>
      <c r="B188" s="53"/>
      <c r="C188" s="63" t="s">
        <v>49</v>
      </c>
      <c r="D188" s="85"/>
      <c r="E188" s="86"/>
      <c r="F188" s="100"/>
      <c r="G188" s="126"/>
      <c r="L188" s="3"/>
      <c r="M188" s="3"/>
    </row>
    <row r="189" spans="1:13" s="2" customFormat="1" ht="25.5">
      <c r="A189" s="125">
        <v>31</v>
      </c>
      <c r="B189" s="47">
        <v>554</v>
      </c>
      <c r="C189" s="52" t="s">
        <v>52</v>
      </c>
      <c r="D189" s="57"/>
      <c r="E189" s="86"/>
      <c r="F189" s="53"/>
      <c r="G189" s="171"/>
      <c r="L189" s="3"/>
      <c r="M189" s="3"/>
    </row>
    <row r="190" spans="1:13" s="2" customFormat="1" ht="25.5">
      <c r="A190" s="125"/>
      <c r="B190" s="47"/>
      <c r="C190" s="63" t="s">
        <v>152</v>
      </c>
      <c r="D190" s="57"/>
      <c r="E190" s="86"/>
      <c r="F190" s="53"/>
      <c r="G190" s="171"/>
      <c r="L190" s="3"/>
      <c r="M190" s="3"/>
    </row>
    <row r="191" spans="1:13" s="2" customFormat="1">
      <c r="A191" s="125"/>
      <c r="B191" s="47"/>
      <c r="C191" s="54" t="str">
        <f>DisFor(E191)</f>
        <v>85.6*(0.17+0.18)</v>
      </c>
      <c r="D191" s="85" t="s">
        <v>0</v>
      </c>
      <c r="E191" s="86">
        <f>85.6*(0.17+0.18)</f>
        <v>29.959999999999997</v>
      </c>
      <c r="F191" s="100"/>
      <c r="G191" s="126"/>
      <c r="L191" s="3"/>
      <c r="M191" s="3"/>
    </row>
    <row r="192" spans="1:13" s="2" customFormat="1" ht="25.5">
      <c r="A192" s="125"/>
      <c r="B192" s="47"/>
      <c r="C192" s="63" t="s">
        <v>180</v>
      </c>
      <c r="D192" s="57"/>
      <c r="E192" s="86"/>
      <c r="F192" s="53"/>
      <c r="G192" s="171"/>
      <c r="L192" s="3"/>
      <c r="M192" s="3"/>
    </row>
    <row r="193" spans="1:20" s="2" customFormat="1">
      <c r="A193" s="125"/>
      <c r="B193" s="47"/>
      <c r="C193" s="54" t="str">
        <f>DisFor(E193)</f>
        <v>85.6*(0.25+0.27)</v>
      </c>
      <c r="D193" s="85" t="s">
        <v>0</v>
      </c>
      <c r="E193" s="86">
        <f>85.6*(0.25+0.27)</f>
        <v>44.512</v>
      </c>
      <c r="F193" s="100"/>
      <c r="G193" s="126"/>
      <c r="L193" s="3"/>
      <c r="M193" s="3"/>
    </row>
    <row r="194" spans="1:20" s="2" customFormat="1" ht="15.75" thickBot="1">
      <c r="A194" s="132"/>
      <c r="B194" s="168"/>
      <c r="C194" s="166" t="s">
        <v>49</v>
      </c>
      <c r="D194" s="169"/>
      <c r="E194" s="134"/>
      <c r="F194" s="135"/>
      <c r="G194" s="136"/>
      <c r="L194" s="3"/>
      <c r="M194" s="3"/>
    </row>
    <row r="195" spans="1:20" s="2" customFormat="1" ht="15.75" thickBot="1">
      <c r="A195" s="353"/>
      <c r="B195" s="356"/>
      <c r="C195" s="358"/>
      <c r="D195" s="361"/>
      <c r="E195" s="362"/>
      <c r="F195" s="360" t="s">
        <v>53</v>
      </c>
      <c r="G195" s="322"/>
    </row>
    <row r="196" spans="1:20" ht="15.75" thickBot="1">
      <c r="A196" s="115"/>
      <c r="B196" s="98"/>
      <c r="C196" s="74"/>
      <c r="D196" s="167"/>
      <c r="E196" s="117"/>
      <c r="F196" s="118"/>
      <c r="G196" s="118"/>
    </row>
    <row r="197" spans="1:20" s="2" customFormat="1" ht="15.75" thickBot="1">
      <c r="A197" s="353"/>
      <c r="B197" s="140" t="s">
        <v>54</v>
      </c>
      <c r="C197" s="354" t="s">
        <v>55</v>
      </c>
      <c r="D197" s="146"/>
      <c r="E197" s="355"/>
      <c r="F197" s="356"/>
      <c r="G197" s="357"/>
      <c r="L197" s="3"/>
      <c r="M197" s="3"/>
    </row>
    <row r="198" spans="1:20" ht="38.25">
      <c r="A198" s="147">
        <v>32</v>
      </c>
      <c r="B198" s="38">
        <v>601</v>
      </c>
      <c r="C198" s="39" t="s">
        <v>56</v>
      </c>
      <c r="D198" s="90"/>
      <c r="E198" s="91"/>
      <c r="F198" s="150"/>
      <c r="G198" s="170"/>
      <c r="L198" s="4"/>
      <c r="M198" s="9"/>
    </row>
    <row r="199" spans="1:20">
      <c r="A199" s="125"/>
      <c r="B199" s="53"/>
      <c r="C199" s="63" t="s">
        <v>57</v>
      </c>
      <c r="D199" s="57" t="s">
        <v>5</v>
      </c>
      <c r="E199" s="86">
        <v>17350</v>
      </c>
      <c r="F199" s="100"/>
      <c r="G199" s="126"/>
    </row>
    <row r="200" spans="1:20">
      <c r="A200" s="125">
        <v>33</v>
      </c>
      <c r="B200" s="47">
        <v>605</v>
      </c>
      <c r="C200" s="40" t="s">
        <v>323</v>
      </c>
      <c r="D200" s="57"/>
      <c r="E200" s="86"/>
      <c r="F200" s="100"/>
      <c r="G200" s="126"/>
    </row>
    <row r="201" spans="1:20" ht="25.5">
      <c r="A201" s="125"/>
      <c r="B201" s="47"/>
      <c r="C201" s="54" t="s">
        <v>155</v>
      </c>
      <c r="D201" s="57"/>
      <c r="E201" s="86"/>
      <c r="F201" s="100"/>
      <c r="G201" s="126"/>
    </row>
    <row r="202" spans="1:20">
      <c r="A202" s="125"/>
      <c r="B202" s="47"/>
      <c r="C202" s="54" t="s">
        <v>161</v>
      </c>
      <c r="D202" s="57" t="s">
        <v>4</v>
      </c>
      <c r="E202" s="86">
        <v>3</v>
      </c>
      <c r="F202" s="100"/>
      <c r="G202" s="126"/>
    </row>
    <row r="203" spans="1:20">
      <c r="A203" s="125">
        <v>34</v>
      </c>
      <c r="B203" s="47">
        <v>660</v>
      </c>
      <c r="C203" s="52" t="s">
        <v>59</v>
      </c>
      <c r="D203" s="57"/>
      <c r="E203" s="86"/>
      <c r="F203" s="53"/>
      <c r="G203" s="171"/>
      <c r="M203" s="416"/>
      <c r="N203" s="417"/>
      <c r="O203" s="417"/>
      <c r="P203" s="417"/>
      <c r="Q203" s="417"/>
      <c r="R203" s="417"/>
      <c r="S203" s="417"/>
      <c r="T203" s="417"/>
    </row>
    <row r="204" spans="1:20" ht="51">
      <c r="A204" s="125"/>
      <c r="B204" s="47"/>
      <c r="C204" s="54" t="s">
        <v>60</v>
      </c>
      <c r="D204" s="57"/>
      <c r="E204" s="86"/>
      <c r="F204" s="53"/>
      <c r="G204" s="171"/>
      <c r="M204" s="14"/>
      <c r="N204" s="15"/>
      <c r="O204" s="15"/>
      <c r="P204" s="15"/>
      <c r="Q204" s="15"/>
      <c r="R204" s="15"/>
      <c r="S204" s="15"/>
      <c r="T204" s="15"/>
    </row>
    <row r="205" spans="1:20">
      <c r="A205" s="125"/>
      <c r="B205" s="154"/>
      <c r="C205" s="54" t="s">
        <v>61</v>
      </c>
      <c r="D205" s="57" t="s">
        <v>4</v>
      </c>
      <c r="E205" s="86">
        <v>8</v>
      </c>
      <c r="F205" s="100"/>
      <c r="G205" s="126"/>
      <c r="M205" s="14"/>
      <c r="N205" s="15"/>
      <c r="O205" s="15"/>
      <c r="P205" s="15"/>
      <c r="Q205" s="15"/>
      <c r="R205" s="15"/>
      <c r="S205" s="15"/>
      <c r="T205" s="15"/>
    </row>
    <row r="206" spans="1:20" ht="25.5">
      <c r="A206" s="125">
        <v>35</v>
      </c>
      <c r="B206" s="47">
        <v>670</v>
      </c>
      <c r="C206" s="40" t="s">
        <v>62</v>
      </c>
      <c r="D206" s="85"/>
      <c r="E206" s="86"/>
      <c r="F206" s="53"/>
      <c r="G206" s="171"/>
    </row>
    <row r="207" spans="1:20">
      <c r="A207" s="125"/>
      <c r="B207" s="53" t="s">
        <v>63</v>
      </c>
      <c r="C207" s="71" t="s">
        <v>64</v>
      </c>
      <c r="D207" s="85"/>
      <c r="E207" s="86"/>
      <c r="F207" s="53"/>
      <c r="G207" s="171"/>
    </row>
    <row r="208" spans="1:20" ht="25.5">
      <c r="A208" s="125"/>
      <c r="B208" s="53" t="s">
        <v>109</v>
      </c>
      <c r="C208" s="71" t="s">
        <v>110</v>
      </c>
      <c r="D208" s="57" t="s">
        <v>3</v>
      </c>
      <c r="E208" s="86">
        <v>12.5</v>
      </c>
      <c r="F208" s="100"/>
      <c r="G208" s="126"/>
    </row>
    <row r="209" spans="1:26" ht="25.5">
      <c r="A209" s="125">
        <v>36</v>
      </c>
      <c r="B209" s="46">
        <v>672</v>
      </c>
      <c r="C209" s="40" t="s">
        <v>65</v>
      </c>
      <c r="D209" s="85"/>
      <c r="E209" s="86"/>
      <c r="F209" s="103"/>
      <c r="G209" s="173"/>
    </row>
    <row r="210" spans="1:26" ht="38.25">
      <c r="A210" s="125"/>
      <c r="B210" s="46"/>
      <c r="C210" s="63" t="s">
        <v>143</v>
      </c>
      <c r="D210" s="85"/>
      <c r="E210" s="86"/>
      <c r="F210" s="103"/>
      <c r="G210" s="173"/>
    </row>
    <row r="211" spans="1:26" ht="15.75" thickBot="1">
      <c r="A211" s="132"/>
      <c r="B211" s="156"/>
      <c r="C211" s="110" t="s">
        <v>66</v>
      </c>
      <c r="D211" s="169" t="s">
        <v>4</v>
      </c>
      <c r="E211" s="134">
        <v>43</v>
      </c>
      <c r="F211" s="172"/>
      <c r="G211" s="174"/>
    </row>
    <row r="212" spans="1:26" s="2" customFormat="1" ht="15.75" thickBot="1">
      <c r="A212" s="353"/>
      <c r="B212" s="356"/>
      <c r="C212" s="358"/>
      <c r="D212" s="361"/>
      <c r="E212" s="362"/>
      <c r="F212" s="360" t="s">
        <v>67</v>
      </c>
      <c r="G212" s="322"/>
    </row>
    <row r="213" spans="1:26" ht="15.75" thickBot="1">
      <c r="A213" s="115"/>
      <c r="B213" s="98"/>
      <c r="C213" s="74"/>
      <c r="D213" s="167"/>
      <c r="E213" s="117"/>
      <c r="F213" s="118"/>
      <c r="G213" s="118"/>
    </row>
    <row r="214" spans="1:26" s="2" customFormat="1" ht="15.75" thickBot="1">
      <c r="A214" s="353"/>
      <c r="B214" s="140" t="s">
        <v>68</v>
      </c>
      <c r="C214" s="354" t="s">
        <v>101</v>
      </c>
      <c r="D214" s="146"/>
      <c r="E214" s="355"/>
      <c r="F214" s="356"/>
      <c r="G214" s="357"/>
    </row>
    <row r="215" spans="1:26" ht="25.5">
      <c r="A215" s="147">
        <v>37</v>
      </c>
      <c r="B215" s="38">
        <v>710</v>
      </c>
      <c r="C215" s="39" t="s">
        <v>132</v>
      </c>
      <c r="D215" s="90"/>
      <c r="E215" s="91"/>
      <c r="F215" s="150"/>
      <c r="G215" s="148"/>
    </row>
    <row r="216" spans="1:26">
      <c r="A216" s="125"/>
      <c r="B216" s="154"/>
      <c r="C216" s="54" t="str">
        <f>DisFor(E217)</f>
        <v>2 · 85.6</v>
      </c>
      <c r="D216" s="57"/>
      <c r="E216" s="86"/>
      <c r="F216" s="100"/>
      <c r="G216" s="126"/>
    </row>
    <row r="217" spans="1:26">
      <c r="A217" s="125"/>
      <c r="B217" s="154"/>
      <c r="C217" s="63" t="s">
        <v>131</v>
      </c>
      <c r="D217" s="57" t="s">
        <v>3</v>
      </c>
      <c r="E217" s="86">
        <f>2*85.6</f>
        <v>171.2</v>
      </c>
      <c r="F217" s="100"/>
      <c r="G217" s="126"/>
    </row>
    <row r="218" spans="1:26" ht="25.5">
      <c r="A218" s="125">
        <v>38</v>
      </c>
      <c r="B218" s="158">
        <v>720</v>
      </c>
      <c r="C218" s="40" t="s">
        <v>106</v>
      </c>
      <c r="D218" s="57"/>
      <c r="E218" s="86"/>
      <c r="F218" s="100"/>
      <c r="G218" s="126"/>
    </row>
    <row r="219" spans="1:26" s="16" customFormat="1">
      <c r="A219" s="125"/>
      <c r="B219" s="53"/>
      <c r="C219" s="54" t="s">
        <v>70</v>
      </c>
      <c r="D219" s="57"/>
      <c r="E219" s="86"/>
      <c r="F219" s="53"/>
      <c r="G219" s="126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</row>
    <row r="220" spans="1:26" s="16" customFormat="1">
      <c r="A220" s="125"/>
      <c r="B220" s="53"/>
      <c r="C220" s="54" t="str">
        <f>DisFor(E220)</f>
        <v>76.25 · 8.5</v>
      </c>
      <c r="D220" s="57" t="s">
        <v>2</v>
      </c>
      <c r="E220" s="86">
        <f>76.25*8.5</f>
        <v>648.125</v>
      </c>
      <c r="F220" s="100"/>
      <c r="G220" s="126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</row>
    <row r="221" spans="1:26" ht="25.5">
      <c r="A221" s="125">
        <v>39</v>
      </c>
      <c r="B221" s="158">
        <v>730</v>
      </c>
      <c r="C221" s="72" t="s">
        <v>347</v>
      </c>
      <c r="D221" s="78"/>
      <c r="E221" s="92"/>
      <c r="F221" s="101"/>
      <c r="G221" s="126"/>
    </row>
    <row r="222" spans="1:26" ht="25.5">
      <c r="A222" s="125"/>
      <c r="B222" s="47"/>
      <c r="C222" s="56" t="s">
        <v>133</v>
      </c>
      <c r="D222" s="78"/>
      <c r="E222" s="92"/>
      <c r="F222" s="101"/>
      <c r="G222" s="126"/>
    </row>
    <row r="223" spans="1:26">
      <c r="A223" s="125"/>
      <c r="B223" s="53"/>
      <c r="C223" s="54" t="str">
        <f>DisFor(E224)</f>
        <v>2 · 85.6 · 2.2</v>
      </c>
      <c r="D223" s="57"/>
      <c r="E223" s="86"/>
      <c r="F223" s="100"/>
      <c r="G223" s="126"/>
    </row>
    <row r="224" spans="1:26">
      <c r="A224" s="125"/>
      <c r="B224" s="53"/>
      <c r="C224" s="54" t="s">
        <v>294</v>
      </c>
      <c r="D224" s="57" t="s">
        <v>2</v>
      </c>
      <c r="E224" s="86">
        <f>2*85.6*2.2</f>
        <v>376.64</v>
      </c>
      <c r="F224" s="100"/>
      <c r="G224" s="126"/>
    </row>
    <row r="225" spans="1:13" ht="25.5">
      <c r="A225" s="125">
        <v>40</v>
      </c>
      <c r="B225" s="47">
        <v>750</v>
      </c>
      <c r="C225" s="52" t="s">
        <v>140</v>
      </c>
      <c r="D225" s="57"/>
      <c r="E225" s="88"/>
      <c r="F225" s="104"/>
      <c r="G225" s="126"/>
    </row>
    <row r="226" spans="1:13">
      <c r="A226" s="125"/>
      <c r="B226" s="47"/>
      <c r="C226" s="54" t="str">
        <f>DisFor(E227)</f>
        <v>5.9 · 76.25</v>
      </c>
      <c r="D226" s="57"/>
      <c r="E226" s="88"/>
      <c r="F226" s="104"/>
      <c r="G226" s="126"/>
    </row>
    <row r="227" spans="1:13">
      <c r="A227" s="125"/>
      <c r="B227" s="47"/>
      <c r="C227" s="63" t="s">
        <v>134</v>
      </c>
      <c r="D227" s="57" t="s">
        <v>2</v>
      </c>
      <c r="E227" s="88">
        <f>5.9*76.25</f>
        <v>449.875</v>
      </c>
      <c r="F227" s="104"/>
      <c r="G227" s="126"/>
    </row>
    <row r="228" spans="1:13" ht="25.5">
      <c r="A228" s="125">
        <v>41</v>
      </c>
      <c r="B228" s="47">
        <v>760</v>
      </c>
      <c r="C228" s="52" t="s">
        <v>137</v>
      </c>
      <c r="D228" s="57"/>
      <c r="E228" s="88"/>
      <c r="F228" s="104"/>
      <c r="G228" s="126"/>
    </row>
    <row r="229" spans="1:13">
      <c r="A229" s="125"/>
      <c r="B229" s="47"/>
      <c r="C229" s="63" t="s">
        <v>139</v>
      </c>
      <c r="D229" s="57"/>
      <c r="E229" s="88"/>
      <c r="F229" s="104"/>
      <c r="G229" s="126"/>
    </row>
    <row r="230" spans="1:13">
      <c r="A230" s="125"/>
      <c r="B230" s="47"/>
      <c r="C230" s="54" t="str">
        <f>DisFor(E231)</f>
        <v>9 · 85.6</v>
      </c>
      <c r="D230" s="57"/>
      <c r="E230" s="88"/>
      <c r="F230" s="104"/>
      <c r="G230" s="126"/>
    </row>
    <row r="231" spans="1:13">
      <c r="A231" s="125"/>
      <c r="B231" s="47"/>
      <c r="C231" s="54" t="s">
        <v>138</v>
      </c>
      <c r="D231" s="57" t="s">
        <v>3</v>
      </c>
      <c r="E231" s="86">
        <f>9*85.6</f>
        <v>770.4</v>
      </c>
      <c r="F231" s="100"/>
      <c r="G231" s="126"/>
    </row>
    <row r="232" spans="1:13" ht="25.5">
      <c r="A232" s="125">
        <v>42</v>
      </c>
      <c r="B232" s="47">
        <v>765</v>
      </c>
      <c r="C232" s="52" t="s">
        <v>299</v>
      </c>
      <c r="D232" s="57"/>
      <c r="E232" s="86"/>
      <c r="F232" s="100"/>
      <c r="G232" s="126"/>
    </row>
    <row r="233" spans="1:13" ht="25.5">
      <c r="A233" s="125"/>
      <c r="B233" s="47"/>
      <c r="C233" s="63" t="s">
        <v>300</v>
      </c>
      <c r="D233" s="57"/>
      <c r="E233" s="86"/>
      <c r="F233" s="100"/>
      <c r="G233" s="126"/>
    </row>
    <row r="234" spans="1:13">
      <c r="A234" s="125"/>
      <c r="B234" s="47"/>
      <c r="C234" s="54" t="s">
        <v>141</v>
      </c>
      <c r="D234" s="57" t="s">
        <v>3</v>
      </c>
      <c r="E234" s="86">
        <v>76.25</v>
      </c>
      <c r="F234" s="101"/>
      <c r="G234" s="126"/>
      <c r="H234" s="34"/>
      <c r="I234" s="34"/>
      <c r="J234" s="34"/>
      <c r="K234" s="34"/>
    </row>
    <row r="235" spans="1:13">
      <c r="A235" s="125"/>
      <c r="B235" s="47">
        <v>770</v>
      </c>
      <c r="C235" s="52" t="s">
        <v>73</v>
      </c>
      <c r="D235" s="57"/>
      <c r="E235" s="86"/>
      <c r="F235" s="100"/>
      <c r="G235" s="126"/>
      <c r="H235" s="17"/>
      <c r="L235" s="3"/>
      <c r="M235" s="3"/>
    </row>
    <row r="236" spans="1:13">
      <c r="A236" s="125">
        <v>43</v>
      </c>
      <c r="B236" s="47" t="s">
        <v>74</v>
      </c>
      <c r="C236" s="63" t="s">
        <v>75</v>
      </c>
      <c r="D236" s="57"/>
      <c r="E236" s="86"/>
      <c r="F236" s="53"/>
      <c r="G236" s="171"/>
      <c r="H236" s="17"/>
    </row>
    <row r="237" spans="1:13">
      <c r="A237" s="125"/>
      <c r="B237" s="47"/>
      <c r="C237" s="54" t="str">
        <f>DisFor(E237)</f>
        <v>2 · 7 · 1.55</v>
      </c>
      <c r="D237" s="57" t="s">
        <v>3</v>
      </c>
      <c r="E237" s="86">
        <f>2*7*1.55</f>
        <v>21.7</v>
      </c>
      <c r="F237" s="53"/>
      <c r="G237" s="171"/>
      <c r="H237" s="17"/>
    </row>
    <row r="238" spans="1:13">
      <c r="A238" s="125">
        <v>44</v>
      </c>
      <c r="B238" s="47" t="s">
        <v>135</v>
      </c>
      <c r="C238" s="63" t="s">
        <v>136</v>
      </c>
      <c r="D238" s="57"/>
      <c r="E238" s="86"/>
      <c r="F238" s="53"/>
      <c r="G238" s="171"/>
      <c r="H238" s="17"/>
    </row>
    <row r="239" spans="1:13">
      <c r="A239" s="125"/>
      <c r="B239" s="47"/>
      <c r="C239" s="54" t="str">
        <f>DisFor(E239)</f>
        <v>2 · 85.6</v>
      </c>
      <c r="D239" s="57" t="s">
        <v>3</v>
      </c>
      <c r="E239" s="86">
        <f>2*85.6</f>
        <v>171.2</v>
      </c>
      <c r="F239" s="53"/>
      <c r="G239" s="171"/>
      <c r="H239" s="17"/>
    </row>
    <row r="240" spans="1:13">
      <c r="A240" s="125"/>
      <c r="B240" s="53" t="s">
        <v>25</v>
      </c>
      <c r="C240" s="63" t="s">
        <v>107</v>
      </c>
      <c r="D240" s="85" t="s">
        <v>3</v>
      </c>
      <c r="E240" s="86">
        <f>SUM(E237:E239)</f>
        <v>192.89999999999998</v>
      </c>
      <c r="F240" s="100"/>
      <c r="G240" s="126"/>
      <c r="H240" s="17"/>
    </row>
    <row r="241" spans="1:9" ht="25.5">
      <c r="A241" s="125">
        <v>45</v>
      </c>
      <c r="B241" s="47">
        <v>775</v>
      </c>
      <c r="C241" s="40" t="s">
        <v>76</v>
      </c>
      <c r="D241" s="57"/>
      <c r="E241" s="86"/>
      <c r="F241" s="53"/>
      <c r="G241" s="171"/>
      <c r="H241" s="17"/>
    </row>
    <row r="242" spans="1:9">
      <c r="A242" s="125"/>
      <c r="B242" s="154"/>
      <c r="C242" s="54" t="str">
        <f>DisFor(E243)</f>
        <v>2 · 85.6</v>
      </c>
      <c r="D242" s="57"/>
      <c r="E242" s="86"/>
      <c r="F242" s="100"/>
      <c r="G242" s="126"/>
      <c r="H242" s="17"/>
    </row>
    <row r="243" spans="1:9">
      <c r="A243" s="125"/>
      <c r="B243" s="53"/>
      <c r="C243" s="63" t="s">
        <v>77</v>
      </c>
      <c r="D243" s="85" t="s">
        <v>3</v>
      </c>
      <c r="E243" s="86">
        <f>2*85.6</f>
        <v>171.2</v>
      </c>
      <c r="F243" s="100"/>
      <c r="G243" s="126"/>
    </row>
    <row r="244" spans="1:9">
      <c r="A244" s="125">
        <v>46</v>
      </c>
      <c r="B244" s="47">
        <v>776</v>
      </c>
      <c r="C244" s="52" t="s">
        <v>156</v>
      </c>
      <c r="D244" s="85"/>
      <c r="E244" s="86"/>
      <c r="F244" s="100"/>
      <c r="G244" s="126"/>
    </row>
    <row r="245" spans="1:9">
      <c r="A245" s="125"/>
      <c r="B245" s="53"/>
      <c r="C245" s="54" t="str">
        <f>DisFor(E246)</f>
        <v>2 · 9</v>
      </c>
      <c r="D245" s="85"/>
      <c r="E245" s="86"/>
      <c r="F245" s="100"/>
      <c r="G245" s="126"/>
    </row>
    <row r="246" spans="1:9" ht="15.75" thickBot="1">
      <c r="A246" s="132"/>
      <c r="B246" s="156"/>
      <c r="C246" s="166" t="s">
        <v>121</v>
      </c>
      <c r="D246" s="169" t="s">
        <v>3</v>
      </c>
      <c r="E246" s="134">
        <f>2*9</f>
        <v>18</v>
      </c>
      <c r="F246" s="135"/>
      <c r="G246" s="136"/>
    </row>
    <row r="247" spans="1:9" s="2" customFormat="1" ht="15.75" thickBot="1">
      <c r="A247" s="353"/>
      <c r="B247" s="356"/>
      <c r="C247" s="358"/>
      <c r="D247" s="359"/>
      <c r="E247" s="355"/>
      <c r="F247" s="360" t="s">
        <v>79</v>
      </c>
      <c r="G247" s="322"/>
    </row>
    <row r="248" spans="1:9" ht="15.75" thickBot="1">
      <c r="A248" s="115"/>
      <c r="B248" s="98"/>
      <c r="C248" s="74"/>
      <c r="D248" s="115"/>
      <c r="E248" s="89"/>
      <c r="F248" s="118"/>
      <c r="G248" s="118"/>
    </row>
    <row r="249" spans="1:9" s="2" customFormat="1" ht="15.75" thickBot="1">
      <c r="A249" s="353"/>
      <c r="B249" s="140" t="s">
        <v>80</v>
      </c>
      <c r="C249" s="354" t="s">
        <v>81</v>
      </c>
      <c r="D249" s="146"/>
      <c r="E249" s="355"/>
      <c r="F249" s="356"/>
      <c r="G249" s="357"/>
    </row>
    <row r="250" spans="1:9" ht="25.5">
      <c r="A250" s="147">
        <v>47</v>
      </c>
      <c r="B250" s="38">
        <v>801</v>
      </c>
      <c r="C250" s="39" t="s">
        <v>82</v>
      </c>
      <c r="D250" s="90"/>
      <c r="E250" s="91"/>
      <c r="F250" s="150"/>
      <c r="G250" s="170"/>
    </row>
    <row r="251" spans="1:9" ht="51">
      <c r="A251" s="125"/>
      <c r="B251" s="155"/>
      <c r="C251" s="63" t="s">
        <v>164</v>
      </c>
      <c r="D251" s="85"/>
      <c r="E251" s="88"/>
      <c r="F251" s="105"/>
      <c r="G251" s="171"/>
      <c r="I251" t="s">
        <v>83</v>
      </c>
    </row>
    <row r="252" spans="1:9">
      <c r="A252" s="125"/>
      <c r="B252" s="155"/>
      <c r="C252" s="54" t="s">
        <v>228</v>
      </c>
      <c r="D252" s="85"/>
      <c r="E252" s="88">
        <v>1300</v>
      </c>
      <c r="F252" s="105"/>
      <c r="G252" s="171"/>
    </row>
    <row r="253" spans="1:9">
      <c r="A253" s="125"/>
      <c r="B253" s="155"/>
      <c r="C253" s="54" t="s">
        <v>225</v>
      </c>
      <c r="D253" s="85"/>
      <c r="E253" s="88">
        <v>150</v>
      </c>
      <c r="F253" s="105"/>
      <c r="G253" s="171"/>
    </row>
    <row r="254" spans="1:9">
      <c r="A254" s="125"/>
      <c r="B254" s="155"/>
      <c r="C254" s="54" t="s">
        <v>226</v>
      </c>
      <c r="D254" s="85"/>
      <c r="E254" s="88">
        <v>100</v>
      </c>
      <c r="F254" s="105"/>
      <c r="G254" s="171"/>
    </row>
    <row r="255" spans="1:9">
      <c r="A255" s="125"/>
      <c r="B255" s="155"/>
      <c r="C255" s="54" t="s">
        <v>227</v>
      </c>
      <c r="D255" s="85"/>
      <c r="E255" s="88">
        <v>60</v>
      </c>
      <c r="F255" s="105"/>
      <c r="G255" s="171"/>
    </row>
    <row r="256" spans="1:9" ht="15.75">
      <c r="A256" s="125"/>
      <c r="B256" s="53"/>
      <c r="C256" s="63" t="s">
        <v>84</v>
      </c>
      <c r="D256" s="85" t="s">
        <v>4</v>
      </c>
      <c r="E256" s="86">
        <f>SUM(E252:E255)</f>
        <v>1610</v>
      </c>
      <c r="F256" s="100"/>
      <c r="G256" s="126"/>
      <c r="H256" s="19"/>
    </row>
    <row r="257" spans="1:8" ht="25.5">
      <c r="A257" s="125">
        <v>48</v>
      </c>
      <c r="B257" s="47">
        <v>802</v>
      </c>
      <c r="C257" s="52" t="s">
        <v>85</v>
      </c>
      <c r="D257" s="85"/>
      <c r="E257" s="86"/>
      <c r="F257" s="100"/>
      <c r="G257" s="126"/>
      <c r="H257" s="19"/>
    </row>
    <row r="258" spans="1:8" ht="15.75">
      <c r="A258" s="125"/>
      <c r="B258" s="47"/>
      <c r="C258" s="54" t="s">
        <v>230</v>
      </c>
      <c r="D258" s="57" t="s">
        <v>3</v>
      </c>
      <c r="E258" s="86">
        <v>137</v>
      </c>
      <c r="F258" s="100"/>
      <c r="G258" s="126"/>
      <c r="H258" s="19"/>
    </row>
    <row r="259" spans="1:8" ht="25.5">
      <c r="A259" s="125"/>
      <c r="B259" s="47"/>
      <c r="C259" s="54" t="s">
        <v>229</v>
      </c>
      <c r="D259" s="57" t="s">
        <v>3</v>
      </c>
      <c r="E259" s="86">
        <v>137</v>
      </c>
      <c r="F259" s="100"/>
      <c r="G259" s="126"/>
      <c r="H259" s="19"/>
    </row>
    <row r="260" spans="1:8" ht="15.75">
      <c r="A260" s="125"/>
      <c r="B260" s="53"/>
      <c r="C260" s="54" t="s">
        <v>86</v>
      </c>
      <c r="D260" s="57"/>
      <c r="E260" s="86"/>
      <c r="F260" s="100"/>
      <c r="G260" s="126"/>
      <c r="H260" s="19"/>
    </row>
    <row r="261" spans="1:8" ht="25.5">
      <c r="A261" s="125">
        <v>49</v>
      </c>
      <c r="B261" s="47">
        <v>825</v>
      </c>
      <c r="C261" s="52" t="s">
        <v>108</v>
      </c>
      <c r="D261" s="85"/>
      <c r="E261" s="86"/>
      <c r="F261" s="100"/>
      <c r="G261" s="126"/>
      <c r="H261" s="20"/>
    </row>
    <row r="262" spans="1:8">
      <c r="A262" s="125"/>
      <c r="B262" s="53"/>
      <c r="C262" s="54" t="str">
        <f>DisFor(E263)</f>
        <v>0.48 · 1.15*(2 · 1.1+1)+2 · 0.5 · 0.5 · 0.3</v>
      </c>
      <c r="D262" s="85"/>
      <c r="E262" s="86"/>
      <c r="F262" s="100"/>
      <c r="G262" s="126"/>
      <c r="H262" s="20"/>
    </row>
    <row r="263" spans="1:8">
      <c r="A263" s="125"/>
      <c r="B263" s="53"/>
      <c r="C263" s="63" t="s">
        <v>49</v>
      </c>
      <c r="D263" s="57" t="s">
        <v>0</v>
      </c>
      <c r="E263" s="86">
        <f>0.48*1.15*(2*1.1+1)+2*0.5*0.5*0.3</f>
        <v>1.9163999999999999</v>
      </c>
      <c r="F263" s="100"/>
      <c r="G263" s="126"/>
      <c r="H263" s="20"/>
    </row>
    <row r="264" spans="1:8">
      <c r="A264" s="125"/>
      <c r="B264" s="53"/>
      <c r="C264" s="54" t="s">
        <v>120</v>
      </c>
      <c r="D264" s="57"/>
      <c r="E264" s="86"/>
      <c r="F264" s="100"/>
      <c r="G264" s="126"/>
      <c r="H264" s="20"/>
    </row>
    <row r="265" spans="1:8">
      <c r="A265" s="125"/>
      <c r="B265" s="53"/>
      <c r="C265" s="54" t="str">
        <f>DisFor(E266)</f>
        <v>2 · 0.2 · 1.9 · 1.15</v>
      </c>
      <c r="D265" s="57"/>
      <c r="E265" s="86"/>
      <c r="F265" s="100"/>
      <c r="G265" s="126"/>
      <c r="H265" s="20"/>
    </row>
    <row r="266" spans="1:8">
      <c r="A266" s="125"/>
      <c r="B266" s="53"/>
      <c r="C266" s="63" t="s">
        <v>49</v>
      </c>
      <c r="D266" s="57" t="s">
        <v>0</v>
      </c>
      <c r="E266" s="86">
        <f>2*0.2*1.9*1.15</f>
        <v>0.87399999999999989</v>
      </c>
      <c r="F266" s="100"/>
      <c r="G266" s="126"/>
      <c r="H266" s="20"/>
    </row>
    <row r="267" spans="1:8" ht="38.25">
      <c r="A267" s="125">
        <v>50</v>
      </c>
      <c r="B267" s="47">
        <v>850</v>
      </c>
      <c r="C267" s="55" t="s">
        <v>232</v>
      </c>
      <c r="D267" s="85"/>
      <c r="E267" s="86"/>
      <c r="F267" s="100"/>
      <c r="G267" s="126"/>
      <c r="H267" s="20"/>
    </row>
    <row r="268" spans="1:8" ht="140.25">
      <c r="A268" s="125"/>
      <c r="B268" s="47"/>
      <c r="C268" s="43" t="s">
        <v>231</v>
      </c>
      <c r="D268" s="85"/>
      <c r="E268" s="86"/>
      <c r="F268" s="100"/>
      <c r="G268" s="126"/>
      <c r="H268" s="20"/>
    </row>
    <row r="269" spans="1:8">
      <c r="A269" s="125"/>
      <c r="B269" s="53"/>
      <c r="C269" s="54" t="str">
        <f>DisFor(E270)</f>
        <v>(1 · 0.5+0.5 · 3.5)+8 · 0.225</v>
      </c>
      <c r="D269" s="85"/>
      <c r="E269" s="86"/>
      <c r="F269" s="100"/>
      <c r="G269" s="126"/>
      <c r="H269" s="20"/>
    </row>
    <row r="270" spans="1:8">
      <c r="A270" s="125"/>
      <c r="B270" s="53"/>
      <c r="C270" s="63" t="s">
        <v>233</v>
      </c>
      <c r="D270" s="57" t="s">
        <v>2</v>
      </c>
      <c r="E270" s="86">
        <f>(1*0.5+0.5*3.5)+8*0.225</f>
        <v>4.05</v>
      </c>
      <c r="F270" s="100"/>
      <c r="G270" s="126"/>
      <c r="H270" s="20"/>
    </row>
    <row r="271" spans="1:8">
      <c r="A271" s="125">
        <v>51</v>
      </c>
      <c r="B271" s="47">
        <v>851</v>
      </c>
      <c r="C271" s="58" t="s">
        <v>234</v>
      </c>
      <c r="D271" s="85"/>
      <c r="E271" s="86"/>
      <c r="F271" s="100"/>
      <c r="G271" s="126"/>
      <c r="H271" s="20"/>
    </row>
    <row r="272" spans="1:8" ht="39.75">
      <c r="A272" s="125"/>
      <c r="B272" s="47"/>
      <c r="C272" s="43" t="s">
        <v>235</v>
      </c>
      <c r="D272" s="85"/>
      <c r="E272" s="86"/>
      <c r="F272" s="100"/>
      <c r="G272" s="126"/>
      <c r="H272" s="20"/>
    </row>
    <row r="273" spans="1:8">
      <c r="A273" s="125"/>
      <c r="B273" s="47"/>
      <c r="C273" s="43" t="s">
        <v>200</v>
      </c>
      <c r="D273" s="85"/>
      <c r="E273" s="86"/>
      <c r="F273" s="100"/>
      <c r="G273" s="126"/>
      <c r="H273" s="20"/>
    </row>
    <row r="274" spans="1:8">
      <c r="A274" s="125"/>
      <c r="B274" s="53"/>
      <c r="C274" s="54" t="str">
        <f>DisFor(E274)</f>
        <v>4 · 8+3.5 · 8</v>
      </c>
      <c r="D274" s="85"/>
      <c r="E274" s="86">
        <f>4*8+3.5*8</f>
        <v>60</v>
      </c>
      <c r="F274" s="100"/>
      <c r="G274" s="126"/>
      <c r="H274" s="20"/>
    </row>
    <row r="275" spans="1:8">
      <c r="A275" s="125"/>
      <c r="B275" s="47"/>
      <c r="C275" s="43" t="s">
        <v>341</v>
      </c>
      <c r="D275" s="85"/>
      <c r="E275" s="86"/>
      <c r="F275" s="100"/>
      <c r="G275" s="126"/>
      <c r="H275" s="20"/>
    </row>
    <row r="276" spans="1:8">
      <c r="A276" s="125"/>
      <c r="B276" s="53"/>
      <c r="C276" s="54" t="str">
        <f>DisFor(E276)</f>
        <v>5.2 · 2.6 · 7</v>
      </c>
      <c r="D276" s="85"/>
      <c r="E276" s="86">
        <f>5.2*2.6*7</f>
        <v>94.640000000000015</v>
      </c>
      <c r="F276" s="100"/>
      <c r="G276" s="126"/>
      <c r="H276" s="20"/>
    </row>
    <row r="277" spans="1:8">
      <c r="A277" s="125"/>
      <c r="B277" s="53"/>
      <c r="C277" s="63" t="s">
        <v>236</v>
      </c>
      <c r="D277" s="57" t="s">
        <v>2</v>
      </c>
      <c r="E277" s="86">
        <f>SUM(E274:E276)</f>
        <v>154.64000000000001</v>
      </c>
      <c r="F277" s="100"/>
      <c r="G277" s="126"/>
      <c r="H277" s="20"/>
    </row>
    <row r="278" spans="1:8" ht="38.25">
      <c r="A278" s="125">
        <v>52</v>
      </c>
      <c r="B278" s="47">
        <v>852</v>
      </c>
      <c r="C278" s="55" t="s">
        <v>237</v>
      </c>
      <c r="D278" s="85"/>
      <c r="E278" s="86"/>
      <c r="F278" s="100"/>
      <c r="G278" s="126"/>
      <c r="H278" s="20"/>
    </row>
    <row r="279" spans="1:8" ht="178.5">
      <c r="A279" s="125"/>
      <c r="B279" s="47"/>
      <c r="C279" s="43" t="s">
        <v>342</v>
      </c>
      <c r="D279" s="85"/>
      <c r="E279" s="86"/>
      <c r="F279" s="100"/>
      <c r="G279" s="126"/>
      <c r="H279" s="20"/>
    </row>
    <row r="280" spans="1:8">
      <c r="A280" s="125"/>
      <c r="B280" s="53"/>
      <c r="C280" s="54" t="str">
        <f>DisFor(E281)</f>
        <v>4 · 8+3.5 · 8</v>
      </c>
      <c r="D280" s="85"/>
      <c r="E280" s="86"/>
      <c r="F280" s="100"/>
      <c r="G280" s="126"/>
      <c r="H280" s="20"/>
    </row>
    <row r="281" spans="1:8">
      <c r="A281" s="125"/>
      <c r="B281" s="53"/>
      <c r="C281" s="63" t="s">
        <v>233</v>
      </c>
      <c r="D281" s="57" t="s">
        <v>2</v>
      </c>
      <c r="E281" s="86">
        <f>4*8+3.5*8</f>
        <v>60</v>
      </c>
      <c r="F281" s="100"/>
      <c r="G281" s="126"/>
      <c r="H281" s="20"/>
    </row>
    <row r="282" spans="1:8" ht="25.5">
      <c r="A282" s="125">
        <v>53</v>
      </c>
      <c r="B282" s="47">
        <v>853</v>
      </c>
      <c r="C282" s="55" t="s">
        <v>238</v>
      </c>
      <c r="D282" s="85"/>
      <c r="E282" s="86"/>
      <c r="F282" s="100"/>
      <c r="G282" s="126"/>
      <c r="H282" s="20"/>
    </row>
    <row r="283" spans="1:8" ht="140.25">
      <c r="A283" s="125"/>
      <c r="B283" s="47"/>
      <c r="C283" s="49" t="s">
        <v>239</v>
      </c>
      <c r="D283" s="85"/>
      <c r="E283" s="86"/>
      <c r="F283" s="100"/>
      <c r="G283" s="126"/>
      <c r="H283" s="20"/>
    </row>
    <row r="284" spans="1:8">
      <c r="A284" s="125"/>
      <c r="B284" s="47"/>
      <c r="C284" s="43" t="s">
        <v>201</v>
      </c>
      <c r="D284" s="85"/>
      <c r="E284" s="86"/>
      <c r="F284" s="100"/>
      <c r="G284" s="126"/>
      <c r="H284" s="20"/>
    </row>
    <row r="285" spans="1:8">
      <c r="A285" s="125"/>
      <c r="B285" s="53"/>
      <c r="C285" s="54" t="str">
        <f>DisFor(E285)</f>
        <v>7 · 0.1</v>
      </c>
      <c r="D285" s="85"/>
      <c r="E285" s="86">
        <f>7*0.1</f>
        <v>0.70000000000000007</v>
      </c>
      <c r="F285" s="100"/>
      <c r="G285" s="126"/>
      <c r="H285" s="20"/>
    </row>
    <row r="286" spans="1:8">
      <c r="A286" s="125"/>
      <c r="B286" s="47"/>
      <c r="C286" s="43" t="s">
        <v>211</v>
      </c>
      <c r="D286" s="85"/>
      <c r="E286" s="86"/>
      <c r="F286" s="100"/>
      <c r="G286" s="126"/>
      <c r="H286" s="20"/>
    </row>
    <row r="287" spans="1:8">
      <c r="A287" s="125"/>
      <c r="B287" s="53"/>
      <c r="C287" s="54" t="str">
        <f>DisFor(E287)</f>
        <v>4+2+1+1+1+3+2+1+3+2</v>
      </c>
      <c r="D287" s="85"/>
      <c r="E287" s="86">
        <f>4+2+1+1+1+3+2+1+3+2</f>
        <v>20</v>
      </c>
      <c r="F287" s="100"/>
      <c r="G287" s="126"/>
      <c r="H287" s="20"/>
    </row>
    <row r="288" spans="1:8">
      <c r="A288" s="125"/>
      <c r="B288" s="47"/>
      <c r="C288" s="43" t="s">
        <v>240</v>
      </c>
      <c r="D288" s="85"/>
      <c r="E288" s="86"/>
      <c r="F288" s="100"/>
      <c r="G288" s="126"/>
      <c r="H288" s="20"/>
    </row>
    <row r="289" spans="1:8">
      <c r="A289" s="125"/>
      <c r="B289" s="53"/>
      <c r="C289" s="54" t="str">
        <f>DisFor(E289)</f>
        <v>4 · 1.25</v>
      </c>
      <c r="D289" s="85"/>
      <c r="E289" s="86">
        <f>4*1.25</f>
        <v>5</v>
      </c>
      <c r="F289" s="100"/>
      <c r="G289" s="126"/>
      <c r="H289" s="20"/>
    </row>
    <row r="290" spans="1:8">
      <c r="A290" s="125"/>
      <c r="B290" s="53"/>
      <c r="C290" s="63" t="s">
        <v>236</v>
      </c>
      <c r="D290" s="57" t="s">
        <v>2</v>
      </c>
      <c r="E290" s="86">
        <f>SUM(E285:E289)</f>
        <v>25.7</v>
      </c>
      <c r="F290" s="100"/>
      <c r="G290" s="126"/>
      <c r="H290" s="20"/>
    </row>
    <row r="291" spans="1:8" ht="25.5">
      <c r="A291" s="125">
        <v>54</v>
      </c>
      <c r="B291" s="47">
        <v>854</v>
      </c>
      <c r="C291" s="55" t="s">
        <v>241</v>
      </c>
      <c r="D291" s="85"/>
      <c r="E291" s="86"/>
      <c r="F291" s="100"/>
      <c r="G291" s="126"/>
      <c r="H291" s="20"/>
    </row>
    <row r="292" spans="1:8" ht="103.5">
      <c r="A292" s="125"/>
      <c r="B292" s="47"/>
      <c r="C292" s="43" t="s">
        <v>279</v>
      </c>
      <c r="D292" s="85"/>
      <c r="E292" s="86"/>
      <c r="F292" s="100"/>
      <c r="G292" s="126"/>
      <c r="H292" s="20"/>
    </row>
    <row r="293" spans="1:8">
      <c r="A293" s="125"/>
      <c r="B293" s="47"/>
      <c r="C293" s="43" t="s">
        <v>201</v>
      </c>
      <c r="D293" s="85"/>
      <c r="E293" s="86"/>
      <c r="F293" s="100"/>
      <c r="G293" s="126"/>
      <c r="H293" s="20"/>
    </row>
    <row r="294" spans="1:8">
      <c r="A294" s="125"/>
      <c r="B294" s="53"/>
      <c r="C294" s="54" t="str">
        <f>DisFor(E294)</f>
        <v>5.8 · 6.7 · 2+0.8 · 6.7 · 2+5.8 · 5.7 · 2+0.8 · 5.7 · 2</v>
      </c>
      <c r="D294" s="85"/>
      <c r="E294" s="86">
        <f>5.8*6.7*2+0.8*6.7*2+5.8*5.7*2+0.8*5.7*2</f>
        <v>163.68</v>
      </c>
      <c r="F294" s="100"/>
      <c r="G294" s="126"/>
      <c r="H294" s="20"/>
    </row>
    <row r="295" spans="1:8">
      <c r="A295" s="125"/>
      <c r="B295" s="47"/>
      <c r="C295" s="43" t="s">
        <v>211</v>
      </c>
      <c r="D295" s="85"/>
      <c r="E295" s="86"/>
      <c r="F295" s="100"/>
      <c r="G295" s="126"/>
      <c r="H295" s="20"/>
    </row>
    <row r="296" spans="1:8">
      <c r="A296" s="125"/>
      <c r="B296" s="53"/>
      <c r="C296" s="54" t="str">
        <f>DisFor(E296)</f>
        <v>5.2 · 2.6 · 9+6.5 · 2.6 · 8</v>
      </c>
      <c r="D296" s="85"/>
      <c r="E296" s="86">
        <f>5.2*2.6*9+6.5*2.6*8</f>
        <v>256.88</v>
      </c>
      <c r="F296" s="100"/>
      <c r="G296" s="126"/>
      <c r="H296" s="20"/>
    </row>
    <row r="297" spans="1:8">
      <c r="A297" s="125"/>
      <c r="B297" s="47"/>
      <c r="C297" s="43" t="s">
        <v>240</v>
      </c>
      <c r="D297" s="85"/>
      <c r="E297" s="86"/>
      <c r="F297" s="100"/>
      <c r="G297" s="126"/>
      <c r="H297" s="20"/>
    </row>
    <row r="298" spans="1:8">
      <c r="A298" s="125"/>
      <c r="B298" s="53"/>
      <c r="C298" s="54" t="str">
        <f>DisFor(E298)</f>
        <v>((4.6+3.3) · 0.5 · 1.3 · 2 · 4+(4.1+2.8) · 0.5 · 1.3 · 2 · 4) · 2</v>
      </c>
      <c r="D298" s="85"/>
      <c r="E298" s="86">
        <f>((4.6+3.3)*0.5*1.3*2*4+(4.1+2.8)*0.5*1.3*2*4)*2</f>
        <v>153.91999999999999</v>
      </c>
      <c r="F298" s="100"/>
      <c r="G298" s="126"/>
      <c r="H298" s="20"/>
    </row>
    <row r="299" spans="1:8">
      <c r="A299" s="125"/>
      <c r="B299" s="53"/>
      <c r="C299" s="63" t="s">
        <v>236</v>
      </c>
      <c r="D299" s="57" t="s">
        <v>2</v>
      </c>
      <c r="E299" s="86">
        <f>SUM(E294:E298)</f>
        <v>574.48</v>
      </c>
      <c r="F299" s="100"/>
      <c r="G299" s="126"/>
      <c r="H299" s="20"/>
    </row>
    <row r="300" spans="1:8">
      <c r="A300" s="125">
        <v>55</v>
      </c>
      <c r="B300" s="47">
        <v>855</v>
      </c>
      <c r="C300" s="55" t="s">
        <v>242</v>
      </c>
      <c r="D300" s="85"/>
      <c r="E300" s="86"/>
      <c r="F300" s="100"/>
      <c r="G300" s="126"/>
      <c r="H300" s="20"/>
    </row>
    <row r="301" spans="1:8" ht="102">
      <c r="A301" s="125"/>
      <c r="B301" s="47"/>
      <c r="C301" s="43" t="s">
        <v>280</v>
      </c>
      <c r="D301" s="85"/>
      <c r="E301" s="86"/>
      <c r="F301" s="100"/>
      <c r="G301" s="126"/>
      <c r="H301" s="20"/>
    </row>
    <row r="302" spans="1:8">
      <c r="A302" s="125"/>
      <c r="B302" s="47"/>
      <c r="C302" s="43" t="s">
        <v>201</v>
      </c>
      <c r="D302" s="85"/>
      <c r="E302" s="86"/>
      <c r="F302" s="100"/>
      <c r="G302" s="126"/>
      <c r="H302" s="20"/>
    </row>
    <row r="303" spans="1:8">
      <c r="A303" s="125"/>
      <c r="B303" s="53"/>
      <c r="C303" s="54" t="str">
        <f>DisFor(E303)</f>
        <v>5.8 · 6.7 · 2+0.8 · 6.7 · 2+5.8 · 5.7 · 2+0.8 · 5.7 · 2</v>
      </c>
      <c r="D303" s="85"/>
      <c r="E303" s="86">
        <f>5.8*6.7*2+0.8*6.7*2+5.8*5.7*2+0.8*5.7*2</f>
        <v>163.68</v>
      </c>
      <c r="F303" s="100"/>
      <c r="G303" s="126"/>
      <c r="H303" s="20"/>
    </row>
    <row r="304" spans="1:8">
      <c r="A304" s="125"/>
      <c r="B304" s="47"/>
      <c r="C304" s="43" t="s">
        <v>211</v>
      </c>
      <c r="D304" s="85"/>
      <c r="E304" s="86"/>
      <c r="F304" s="100"/>
      <c r="G304" s="126"/>
      <c r="H304" s="20"/>
    </row>
    <row r="305" spans="1:8">
      <c r="A305" s="125"/>
      <c r="B305" s="53"/>
      <c r="C305" s="54" t="str">
        <f>DisFor(E305)</f>
        <v>5.2 · 2.6 · 9+6.5 · 2.6 · 8</v>
      </c>
      <c r="D305" s="85"/>
      <c r="E305" s="86">
        <f>5.2*2.6*9+6.5*2.6*8</f>
        <v>256.88</v>
      </c>
      <c r="F305" s="100"/>
      <c r="G305" s="126"/>
      <c r="H305" s="20"/>
    </row>
    <row r="306" spans="1:8">
      <c r="A306" s="125"/>
      <c r="B306" s="47"/>
      <c r="C306" s="43" t="s">
        <v>240</v>
      </c>
      <c r="D306" s="85"/>
      <c r="E306" s="86"/>
      <c r="F306" s="100"/>
      <c r="G306" s="126"/>
      <c r="H306" s="20"/>
    </row>
    <row r="307" spans="1:8">
      <c r="A307" s="125"/>
      <c r="B307" s="53"/>
      <c r="C307" s="54" t="str">
        <f>DisFor(E307)</f>
        <v>((4.6+3.3) · 0.5 · 1.3 · 2 · 4+(4.1+2.8) · 0.5 · 1.3 · 2 · 4) · 2</v>
      </c>
      <c r="D307" s="85"/>
      <c r="E307" s="86">
        <f>((4.6+3.3)*0.5*1.3*2*4+(4.1+2.8)*0.5*1.3*2*4)*2</f>
        <v>153.91999999999999</v>
      </c>
      <c r="F307" s="100"/>
      <c r="G307" s="126"/>
      <c r="H307" s="20"/>
    </row>
    <row r="308" spans="1:8">
      <c r="A308" s="125"/>
      <c r="B308" s="53"/>
      <c r="C308" s="63" t="s">
        <v>236</v>
      </c>
      <c r="D308" s="57" t="s">
        <v>2</v>
      </c>
      <c r="E308" s="86">
        <f>SUM(E303:E307)</f>
        <v>574.48</v>
      </c>
      <c r="F308" s="100"/>
      <c r="G308" s="126"/>
      <c r="H308" s="20"/>
    </row>
    <row r="309" spans="1:8" ht="25.5">
      <c r="A309" s="125">
        <v>56</v>
      </c>
      <c r="B309" s="47">
        <v>856</v>
      </c>
      <c r="C309" s="55" t="s">
        <v>343</v>
      </c>
      <c r="D309" s="85"/>
      <c r="E309" s="86"/>
      <c r="F309" s="100"/>
      <c r="G309" s="126"/>
      <c r="H309" s="20"/>
    </row>
    <row r="310" spans="1:8" ht="140.25">
      <c r="A310" s="125"/>
      <c r="B310" s="47"/>
      <c r="C310" s="43" t="s">
        <v>281</v>
      </c>
      <c r="D310" s="85"/>
      <c r="E310" s="86"/>
      <c r="F310" s="100"/>
      <c r="G310" s="126"/>
      <c r="H310" s="20"/>
    </row>
    <row r="311" spans="1:8">
      <c r="A311" s="125"/>
      <c r="B311" s="47"/>
      <c r="C311" s="43" t="s">
        <v>262</v>
      </c>
      <c r="D311" s="85"/>
      <c r="E311" s="86"/>
      <c r="F311" s="100"/>
      <c r="G311" s="126"/>
      <c r="H311" s="20"/>
    </row>
    <row r="312" spans="1:8">
      <c r="A312" s="125"/>
      <c r="B312" s="53"/>
      <c r="C312" s="54" t="str">
        <f>DisFor(E312)</f>
        <v>56.7 · 6.47</v>
      </c>
      <c r="D312" s="85"/>
      <c r="E312" s="86">
        <f>56.7*6.47</f>
        <v>366.84899999999999</v>
      </c>
      <c r="F312" s="100"/>
      <c r="G312" s="126"/>
      <c r="H312" s="20"/>
    </row>
    <row r="313" spans="1:8">
      <c r="A313" s="125"/>
      <c r="B313" s="47"/>
      <c r="C313" s="43" t="s">
        <v>263</v>
      </c>
      <c r="D313" s="85"/>
      <c r="E313" s="86"/>
      <c r="F313" s="100"/>
      <c r="G313" s="126"/>
      <c r="H313" s="20"/>
    </row>
    <row r="314" spans="1:8">
      <c r="A314" s="125"/>
      <c r="B314" s="53"/>
      <c r="C314" s="54" t="str">
        <f>DisFor(E314)</f>
        <v>8.9 · 2.29</v>
      </c>
      <c r="D314" s="85"/>
      <c r="E314" s="86">
        <f>8.9*2.29</f>
        <v>20.381</v>
      </c>
      <c r="F314" s="100"/>
      <c r="G314" s="126"/>
      <c r="H314" s="20"/>
    </row>
    <row r="315" spans="1:8">
      <c r="A315" s="125"/>
      <c r="B315" s="47"/>
      <c r="C315" s="43" t="s">
        <v>264</v>
      </c>
      <c r="D315" s="85"/>
      <c r="E315" s="86"/>
      <c r="F315" s="100"/>
      <c r="G315" s="126"/>
      <c r="H315" s="20"/>
    </row>
    <row r="316" spans="1:8">
      <c r="A316" s="125"/>
      <c r="B316" s="53"/>
      <c r="C316" s="54" t="str">
        <f>DisFor(E316)</f>
        <v>217.5 · 0.64</v>
      </c>
      <c r="D316" s="85"/>
      <c r="E316" s="86">
        <f>217.5*0.64</f>
        <v>139.20000000000002</v>
      </c>
      <c r="F316" s="100"/>
      <c r="G316" s="126"/>
      <c r="H316" s="20"/>
    </row>
    <row r="317" spans="1:8">
      <c r="A317" s="125"/>
      <c r="B317" s="53"/>
      <c r="C317" s="54" t="s">
        <v>265</v>
      </c>
      <c r="D317" s="85"/>
      <c r="E317" s="86"/>
      <c r="F317" s="100"/>
      <c r="G317" s="126"/>
      <c r="H317" s="20"/>
    </row>
    <row r="318" spans="1:8">
      <c r="A318" s="125"/>
      <c r="B318" s="53"/>
      <c r="C318" s="54" t="str">
        <f>DisFor(E318)</f>
        <v>8.93 · 4.47</v>
      </c>
      <c r="D318" s="85"/>
      <c r="E318" s="86">
        <f>8.93*4.47</f>
        <v>39.917099999999998</v>
      </c>
      <c r="F318" s="100"/>
      <c r="G318" s="126"/>
      <c r="H318" s="20"/>
    </row>
    <row r="319" spans="1:8">
      <c r="A319" s="125"/>
      <c r="B319" s="53"/>
      <c r="C319" s="63" t="s">
        <v>243</v>
      </c>
      <c r="D319" s="57" t="s">
        <v>5</v>
      </c>
      <c r="E319" s="86">
        <f>E312+E314+E316+E318</f>
        <v>566.34710000000007</v>
      </c>
      <c r="F319" s="100"/>
      <c r="G319" s="126"/>
      <c r="H319" s="20"/>
    </row>
    <row r="320" spans="1:8" ht="25.5">
      <c r="A320" s="125">
        <v>57</v>
      </c>
      <c r="B320" s="47">
        <v>857</v>
      </c>
      <c r="C320" s="55" t="s">
        <v>244</v>
      </c>
      <c r="D320" s="85"/>
      <c r="E320" s="86"/>
      <c r="F320" s="100"/>
      <c r="G320" s="126"/>
      <c r="H320" s="20"/>
    </row>
    <row r="321" spans="1:8" ht="90.75">
      <c r="A321" s="125"/>
      <c r="B321" s="47"/>
      <c r="C321" s="43" t="s">
        <v>282</v>
      </c>
      <c r="D321" s="85"/>
      <c r="E321" s="86"/>
      <c r="F321" s="100"/>
      <c r="G321" s="126"/>
      <c r="H321" s="20"/>
    </row>
    <row r="322" spans="1:8">
      <c r="A322" s="125"/>
      <c r="B322" s="47"/>
      <c r="C322" s="43" t="s">
        <v>201</v>
      </c>
      <c r="D322" s="85"/>
      <c r="E322" s="86"/>
      <c r="F322" s="100"/>
      <c r="G322" s="126"/>
      <c r="H322" s="20"/>
    </row>
    <row r="323" spans="1:8">
      <c r="A323" s="125"/>
      <c r="B323" s="53"/>
      <c r="C323" s="54" t="str">
        <f>DisFor(E323)</f>
        <v>7 · 0.1</v>
      </c>
      <c r="D323" s="85"/>
      <c r="E323" s="86">
        <f>7*0.1</f>
        <v>0.70000000000000007</v>
      </c>
      <c r="F323" s="100"/>
      <c r="G323" s="126"/>
      <c r="H323" s="20"/>
    </row>
    <row r="324" spans="1:8" ht="25.5">
      <c r="A324" s="125"/>
      <c r="B324" s="47"/>
      <c r="C324" s="43" t="s">
        <v>245</v>
      </c>
      <c r="D324" s="85"/>
      <c r="E324" s="86"/>
      <c r="F324" s="100"/>
      <c r="G324" s="126"/>
      <c r="H324" s="20"/>
    </row>
    <row r="325" spans="1:8">
      <c r="A325" s="125"/>
      <c r="B325" s="53"/>
      <c r="C325" s="54" t="str">
        <f>DisFor(E325)</f>
        <v>135 · 0.07</v>
      </c>
      <c r="D325" s="85"/>
      <c r="E325" s="86">
        <f>135*0.07</f>
        <v>9.4500000000000011</v>
      </c>
      <c r="F325" s="100"/>
      <c r="G325" s="126"/>
      <c r="H325" s="20"/>
    </row>
    <row r="326" spans="1:8" ht="25.5">
      <c r="A326" s="125"/>
      <c r="B326" s="47"/>
      <c r="C326" s="43" t="s">
        <v>246</v>
      </c>
      <c r="D326" s="85"/>
      <c r="E326" s="86"/>
      <c r="F326" s="100"/>
      <c r="G326" s="126"/>
      <c r="H326" s="20"/>
    </row>
    <row r="327" spans="1:8">
      <c r="A327" s="125"/>
      <c r="B327" s="53"/>
      <c r="C327" s="54" t="str">
        <f>DisFor(E327)</f>
        <v>75.4 · 0.4 · 3</v>
      </c>
      <c r="D327" s="85"/>
      <c r="E327" s="86">
        <f>75.4*0.4*3</f>
        <v>90.480000000000018</v>
      </c>
      <c r="F327" s="100"/>
      <c r="G327" s="126"/>
      <c r="H327" s="20"/>
    </row>
    <row r="328" spans="1:8" ht="51">
      <c r="A328" s="125"/>
      <c r="B328" s="47"/>
      <c r="C328" s="43" t="s">
        <v>247</v>
      </c>
      <c r="D328" s="85"/>
      <c r="E328" s="86"/>
      <c r="F328" s="100"/>
      <c r="G328" s="126"/>
      <c r="H328" s="20"/>
    </row>
    <row r="329" spans="1:8">
      <c r="A329" s="125"/>
      <c r="B329" s="53"/>
      <c r="C329" s="54" t="str">
        <f>DisFor(E329)</f>
        <v>(2 · 2.6 · 0.25) · 2+14 · 0.25 · 3 · 2+7 · 0.5 · 3</v>
      </c>
      <c r="D329" s="85"/>
      <c r="E329" s="86">
        <f>(2*2.6*0.25)*2+14*0.25*3*2+7*0.5*3</f>
        <v>34.1</v>
      </c>
      <c r="F329" s="100"/>
      <c r="G329" s="126"/>
      <c r="H329" s="20"/>
    </row>
    <row r="330" spans="1:8">
      <c r="A330" s="125"/>
      <c r="B330" s="47"/>
      <c r="C330" s="43" t="s">
        <v>211</v>
      </c>
      <c r="D330" s="85"/>
      <c r="E330" s="86"/>
      <c r="F330" s="100"/>
      <c r="G330" s="126"/>
      <c r="H330" s="20"/>
    </row>
    <row r="331" spans="1:8">
      <c r="A331" s="125"/>
      <c r="B331" s="53"/>
      <c r="C331" s="54" t="str">
        <f>DisFor(E331)</f>
        <v>(4+2+1+1+1+3+2+1+3+2) · 0.5</v>
      </c>
      <c r="D331" s="85"/>
      <c r="E331" s="86">
        <f>(4+2+1+1+1+3+2+1+3+2)*0.5</f>
        <v>10</v>
      </c>
      <c r="F331" s="100"/>
      <c r="G331" s="126"/>
      <c r="H331" s="20"/>
    </row>
    <row r="332" spans="1:8">
      <c r="A332" s="125"/>
      <c r="B332" s="47"/>
      <c r="C332" s="43" t="s">
        <v>248</v>
      </c>
      <c r="D332" s="85"/>
      <c r="E332" s="86"/>
      <c r="F332" s="100"/>
      <c r="G332" s="126"/>
      <c r="H332" s="20"/>
    </row>
    <row r="333" spans="1:8">
      <c r="A333" s="125"/>
      <c r="B333" s="53"/>
      <c r="C333" s="54" t="str">
        <f>DisFor(E333)</f>
        <v>1 · 75.4 · 2 · 0.05</v>
      </c>
      <c r="D333" s="85"/>
      <c r="E333" s="86">
        <f>1*75.4*2*0.05</f>
        <v>7.5400000000000009</v>
      </c>
      <c r="F333" s="100"/>
      <c r="G333" s="126"/>
      <c r="H333" s="20"/>
    </row>
    <row r="334" spans="1:8">
      <c r="A334" s="125"/>
      <c r="B334" s="47"/>
      <c r="C334" s="43" t="s">
        <v>212</v>
      </c>
      <c r="D334" s="85"/>
      <c r="E334" s="86"/>
      <c r="F334" s="100"/>
      <c r="G334" s="126"/>
      <c r="H334" s="20"/>
    </row>
    <row r="335" spans="1:8">
      <c r="A335" s="125"/>
      <c r="B335" s="53"/>
      <c r="C335" s="54" t="str">
        <f>DisFor(E335)</f>
        <v>5 · 0.5</v>
      </c>
      <c r="D335" s="85"/>
      <c r="E335" s="86">
        <f>5*0.5</f>
        <v>2.5</v>
      </c>
      <c r="F335" s="100"/>
      <c r="G335" s="126"/>
      <c r="H335" s="20"/>
    </row>
    <row r="336" spans="1:8">
      <c r="A336" s="125"/>
      <c r="B336" s="53"/>
      <c r="C336" s="63" t="s">
        <v>283</v>
      </c>
      <c r="D336" s="57" t="s">
        <v>2</v>
      </c>
      <c r="E336" s="86">
        <f>SUM(E323:E335)</f>
        <v>154.77000000000001</v>
      </c>
      <c r="F336" s="100"/>
      <c r="G336" s="126"/>
      <c r="H336" s="20"/>
    </row>
    <row r="337" spans="1:8" ht="38.25">
      <c r="A337" s="125">
        <v>58</v>
      </c>
      <c r="B337" s="47">
        <v>858</v>
      </c>
      <c r="C337" s="55" t="s">
        <v>249</v>
      </c>
      <c r="D337" s="85"/>
      <c r="E337" s="86"/>
      <c r="F337" s="100"/>
      <c r="G337" s="126"/>
      <c r="H337" s="20"/>
    </row>
    <row r="338" spans="1:8" ht="165.75">
      <c r="A338" s="125"/>
      <c r="B338" s="47"/>
      <c r="C338" s="49" t="s">
        <v>250</v>
      </c>
      <c r="D338" s="85"/>
      <c r="E338" s="86"/>
      <c r="F338" s="100"/>
      <c r="G338" s="126"/>
      <c r="H338" s="20"/>
    </row>
    <row r="339" spans="1:8">
      <c r="A339" s="125"/>
      <c r="B339" s="53"/>
      <c r="C339" s="54" t="str">
        <f>DisFor(E340)</f>
        <v>(3.1+4.3+4.3+5.9+5.9+3.2+3.5)*(0.4 · 0.12+2 · 1.185 · 0.035)</v>
      </c>
      <c r="D339" s="85"/>
      <c r="E339" s="86"/>
      <c r="F339" s="100"/>
      <c r="G339" s="126"/>
      <c r="H339" s="20"/>
    </row>
    <row r="340" spans="1:8">
      <c r="A340" s="125"/>
      <c r="B340" s="53"/>
      <c r="C340" s="63" t="s">
        <v>251</v>
      </c>
      <c r="D340" s="57" t="s">
        <v>0</v>
      </c>
      <c r="E340" s="86">
        <f>(3.1+4.3+4.3+5.9+5.9+3.2+3.5)*(0.4*0.12+2*1.185*0.035)</f>
        <v>3.9546900000000003</v>
      </c>
      <c r="F340" s="100"/>
      <c r="G340" s="126"/>
      <c r="H340" s="20"/>
    </row>
    <row r="341" spans="1:8" ht="38.25">
      <c r="A341" s="125">
        <v>59</v>
      </c>
      <c r="B341" s="47">
        <v>859</v>
      </c>
      <c r="C341" s="55" t="s">
        <v>252</v>
      </c>
      <c r="D341" s="85"/>
      <c r="E341" s="86"/>
      <c r="F341" s="100"/>
      <c r="G341" s="126"/>
      <c r="H341" s="20"/>
    </row>
    <row r="342" spans="1:8" ht="127.5">
      <c r="A342" s="125"/>
      <c r="B342" s="47"/>
      <c r="C342" s="49" t="s">
        <v>253</v>
      </c>
      <c r="D342" s="85"/>
      <c r="E342" s="86"/>
      <c r="F342" s="100"/>
      <c r="G342" s="126"/>
      <c r="H342" s="20"/>
    </row>
    <row r="343" spans="1:8">
      <c r="A343" s="125"/>
      <c r="B343" s="47"/>
      <c r="C343" s="43" t="s">
        <v>254</v>
      </c>
      <c r="D343" s="85"/>
      <c r="E343" s="86"/>
      <c r="F343" s="100"/>
      <c r="G343" s="126"/>
      <c r="H343" s="20"/>
    </row>
    <row r="344" spans="1:8">
      <c r="A344" s="125"/>
      <c r="B344" s="53"/>
      <c r="C344" s="54" t="str">
        <f>DisFor(E344)</f>
        <v>(75.4 · 2-30) · 0.035-52.2 · 0.4 · 0.035+75.4 · 0.035</v>
      </c>
      <c r="D344" s="85"/>
      <c r="E344" s="86">
        <f>(75.4*2-30)*0.035-52.2*0.4*0.035+75.4*0.035</f>
        <v>6.1362000000000005</v>
      </c>
      <c r="F344" s="100"/>
      <c r="G344" s="126"/>
      <c r="H344" s="20"/>
    </row>
    <row r="345" spans="1:8">
      <c r="A345" s="125"/>
      <c r="B345" s="47"/>
      <c r="C345" s="43" t="s">
        <v>210</v>
      </c>
      <c r="D345" s="85"/>
      <c r="E345" s="86"/>
      <c r="F345" s="100"/>
      <c r="G345" s="126"/>
      <c r="H345" s="20"/>
    </row>
    <row r="346" spans="1:8">
      <c r="A346" s="125"/>
      <c r="B346" s="53"/>
      <c r="C346" s="54" t="str">
        <f>DisFor(E346)</f>
        <v>(0.25 · 0.05+0.15 · 0.035 · 2) · 2.6 · 2 · 2</v>
      </c>
      <c r="D346" s="85"/>
      <c r="E346" s="86">
        <f>(0.25*0.05+0.15*0.035*2)*2.6*2*2</f>
        <v>0.2392</v>
      </c>
      <c r="F346" s="100"/>
      <c r="G346" s="126"/>
      <c r="H346" s="20"/>
    </row>
    <row r="347" spans="1:8">
      <c r="A347" s="125"/>
      <c r="B347" s="53"/>
      <c r="C347" s="63" t="s">
        <v>251</v>
      </c>
      <c r="D347" s="57" t="s">
        <v>0</v>
      </c>
      <c r="E347" s="86">
        <f>SUM(E344:E346)</f>
        <v>6.3754000000000008</v>
      </c>
      <c r="F347" s="100"/>
      <c r="G347" s="126"/>
      <c r="H347" s="20"/>
    </row>
    <row r="348" spans="1:8" ht="38.25">
      <c r="A348" s="125">
        <v>60</v>
      </c>
      <c r="B348" s="47">
        <v>860</v>
      </c>
      <c r="C348" s="55" t="s">
        <v>255</v>
      </c>
      <c r="D348" s="85"/>
      <c r="E348" s="86"/>
      <c r="F348" s="100"/>
      <c r="G348" s="126"/>
      <c r="H348" s="20"/>
    </row>
    <row r="349" spans="1:8" ht="102">
      <c r="A349" s="125"/>
      <c r="B349" s="47"/>
      <c r="C349" s="49" t="s">
        <v>256</v>
      </c>
      <c r="D349" s="85"/>
      <c r="E349" s="86"/>
      <c r="F349" s="100"/>
      <c r="G349" s="126"/>
      <c r="H349" s="20"/>
    </row>
    <row r="350" spans="1:8" ht="25.5">
      <c r="A350" s="125"/>
      <c r="B350" s="47"/>
      <c r="C350" s="49" t="s">
        <v>257</v>
      </c>
      <c r="D350" s="85"/>
      <c r="E350" s="86"/>
      <c r="F350" s="100"/>
      <c r="G350" s="126"/>
      <c r="H350" s="20"/>
    </row>
    <row r="351" spans="1:8">
      <c r="A351" s="125"/>
      <c r="B351" s="53"/>
      <c r="C351" s="54" t="str">
        <f>DisFor(E351)</f>
        <v>(2 · 82.4 · 2-30 · 1 · 2)+86.1 · 2+52.2 · 0.4</v>
      </c>
      <c r="D351" s="85"/>
      <c r="E351" s="86">
        <f>(2*82.4*2-30*1*2)+86.1*2+52.2*0.4</f>
        <v>462.68</v>
      </c>
      <c r="F351" s="100"/>
      <c r="G351" s="126"/>
      <c r="H351" s="20"/>
    </row>
    <row r="352" spans="1:8">
      <c r="A352" s="125"/>
      <c r="B352" s="47"/>
      <c r="C352" s="49" t="s">
        <v>258</v>
      </c>
      <c r="D352" s="85"/>
      <c r="E352" s="86"/>
      <c r="F352" s="100"/>
      <c r="G352" s="126"/>
      <c r="H352" s="20"/>
    </row>
    <row r="353" spans="1:8">
      <c r="A353" s="125"/>
      <c r="B353" s="53"/>
      <c r="C353" s="54" t="str">
        <f>DisFor(E353)</f>
        <v>1.06 · 2.6 · 2 · 2 · 12+2.6 · 0.25 · 2 · 7</v>
      </c>
      <c r="D353" s="85"/>
      <c r="E353" s="86">
        <f>1.06*2.6*2*2*12+2.6*0.25*2*7</f>
        <v>141.38800000000001</v>
      </c>
      <c r="F353" s="100"/>
      <c r="G353" s="126"/>
      <c r="H353" s="20"/>
    </row>
    <row r="354" spans="1:8">
      <c r="A354" s="125"/>
      <c r="B354" s="47"/>
      <c r="C354" s="49" t="s">
        <v>259</v>
      </c>
      <c r="D354" s="85"/>
      <c r="E354" s="86"/>
      <c r="F354" s="100"/>
      <c r="G354" s="126"/>
      <c r="H354" s="20"/>
    </row>
    <row r="355" spans="1:8">
      <c r="A355" s="125"/>
      <c r="B355" s="53"/>
      <c r="C355" s="54" t="str">
        <f>DisFor(E355)</f>
        <v>5.2 · 2.6 · 7</v>
      </c>
      <c r="D355" s="85"/>
      <c r="E355" s="86">
        <f>5.2*2.6*7</f>
        <v>94.640000000000015</v>
      </c>
      <c r="F355" s="100"/>
      <c r="G355" s="126"/>
      <c r="H355" s="20"/>
    </row>
    <row r="356" spans="1:8">
      <c r="A356" s="125"/>
      <c r="B356" s="47"/>
      <c r="C356" s="49" t="s">
        <v>260</v>
      </c>
      <c r="D356" s="85"/>
      <c r="E356" s="86"/>
      <c r="F356" s="100"/>
      <c r="G356" s="126"/>
      <c r="H356" s="20"/>
    </row>
    <row r="357" spans="1:8">
      <c r="A357" s="125"/>
      <c r="B357" s="53"/>
      <c r="C357" s="54" t="str">
        <f>DisFor(E357)</f>
        <v>75.4 · 1.0305 · 2</v>
      </c>
      <c r="D357" s="85"/>
      <c r="E357" s="86">
        <f>75.4*1.0305*2</f>
        <v>155.39940000000001</v>
      </c>
      <c r="F357" s="100"/>
      <c r="G357" s="126"/>
      <c r="H357" s="20"/>
    </row>
    <row r="358" spans="1:8">
      <c r="A358" s="125"/>
      <c r="B358" s="53"/>
      <c r="C358" s="49" t="s">
        <v>261</v>
      </c>
      <c r="D358" s="57" t="s">
        <v>2</v>
      </c>
      <c r="E358" s="86"/>
      <c r="F358" s="100"/>
      <c r="G358" s="126"/>
      <c r="H358" s="20"/>
    </row>
    <row r="359" spans="1:8" ht="25.5">
      <c r="A359" s="125">
        <v>61</v>
      </c>
      <c r="B359" s="47">
        <v>861</v>
      </c>
      <c r="C359" s="55" t="s">
        <v>266</v>
      </c>
      <c r="D359" s="85"/>
      <c r="E359" s="86"/>
      <c r="F359" s="100"/>
      <c r="G359" s="126"/>
      <c r="H359" s="20"/>
    </row>
    <row r="360" spans="1:8" ht="90.75">
      <c r="A360" s="125"/>
      <c r="B360" s="47"/>
      <c r="C360" s="49" t="s">
        <v>267</v>
      </c>
      <c r="D360" s="85"/>
      <c r="E360" s="86"/>
      <c r="F360" s="100"/>
      <c r="G360" s="126"/>
      <c r="H360" s="20"/>
    </row>
    <row r="361" spans="1:8">
      <c r="A361" s="125"/>
      <c r="B361" s="53"/>
      <c r="C361" s="54" t="str">
        <f>DisFor(E362)</f>
        <v>13.8 · 2+7.5 · 21+8.3 · 1</v>
      </c>
      <c r="D361" s="85"/>
      <c r="E361" s="86"/>
      <c r="F361" s="106"/>
      <c r="G361" s="126"/>
      <c r="H361" s="20"/>
    </row>
    <row r="362" spans="1:8">
      <c r="A362" s="125"/>
      <c r="B362" s="53"/>
      <c r="C362" s="73" t="s">
        <v>268</v>
      </c>
      <c r="D362" s="57" t="s">
        <v>3</v>
      </c>
      <c r="E362" s="86">
        <f>13.8*2+7.5*21+8.3*1</f>
        <v>193.4</v>
      </c>
      <c r="F362" s="100"/>
      <c r="G362" s="126"/>
      <c r="H362" s="20"/>
    </row>
    <row r="363" spans="1:8" ht="38.25">
      <c r="A363" s="125">
        <v>62</v>
      </c>
      <c r="B363" s="47">
        <v>875</v>
      </c>
      <c r="C363" s="52" t="s">
        <v>154</v>
      </c>
      <c r="D363" s="57"/>
      <c r="E363" s="86"/>
      <c r="F363" s="100"/>
      <c r="G363" s="126"/>
    </row>
    <row r="364" spans="1:8" ht="25.5">
      <c r="A364" s="125"/>
      <c r="B364" s="106"/>
      <c r="C364" s="71" t="s">
        <v>153</v>
      </c>
      <c r="D364" s="57"/>
      <c r="E364" s="86"/>
      <c r="F364" s="100"/>
      <c r="G364" s="126"/>
    </row>
    <row r="365" spans="1:8">
      <c r="A365" s="125"/>
      <c r="B365" s="47"/>
      <c r="C365" s="54" t="str">
        <f>DisFor(E365)</f>
        <v>4 · 4.65 · 1.55 · 0.1</v>
      </c>
      <c r="D365" s="57" t="s">
        <v>0</v>
      </c>
      <c r="E365" s="86">
        <f>4*4.65*1.55*0.1</f>
        <v>2.8830000000000005</v>
      </c>
      <c r="F365" s="100"/>
      <c r="G365" s="126"/>
    </row>
    <row r="366" spans="1:8">
      <c r="A366" s="125"/>
      <c r="B366" s="47"/>
      <c r="C366" s="54" t="s">
        <v>273</v>
      </c>
      <c r="D366" s="57"/>
      <c r="E366" s="86"/>
      <c r="F366" s="100"/>
      <c r="G366" s="126"/>
    </row>
    <row r="367" spans="1:8">
      <c r="A367" s="125"/>
      <c r="B367" s="47"/>
      <c r="C367" s="54" t="str">
        <f>DisFor(E367)</f>
        <v>2 · 0.44 · 6.4</v>
      </c>
      <c r="D367" s="57" t="s">
        <v>0</v>
      </c>
      <c r="E367" s="86">
        <f>2*0.44*6.4</f>
        <v>5.6320000000000006</v>
      </c>
      <c r="F367" s="100"/>
      <c r="G367" s="126"/>
    </row>
    <row r="368" spans="1:8">
      <c r="A368" s="125"/>
      <c r="B368" s="47"/>
      <c r="C368" s="54" t="s">
        <v>272</v>
      </c>
      <c r="D368" s="57"/>
      <c r="E368" s="86"/>
      <c r="F368" s="100"/>
      <c r="G368" s="126"/>
    </row>
    <row r="369" spans="1:7">
      <c r="A369" s="125"/>
      <c r="B369" s="47"/>
      <c r="C369" s="54" t="str">
        <f>DisFor(E369)</f>
        <v>2 · 1 · 6.4</v>
      </c>
      <c r="D369" s="57" t="s">
        <v>0</v>
      </c>
      <c r="E369" s="86">
        <f>2*1*6.4</f>
        <v>12.8</v>
      </c>
      <c r="F369" s="100"/>
      <c r="G369" s="126"/>
    </row>
    <row r="370" spans="1:7">
      <c r="A370" s="125"/>
      <c r="B370" s="47"/>
      <c r="C370" s="63" t="s">
        <v>49</v>
      </c>
      <c r="D370" s="57"/>
      <c r="E370" s="86"/>
      <c r="F370" s="100"/>
      <c r="G370" s="126"/>
    </row>
    <row r="371" spans="1:7" ht="38.25">
      <c r="A371" s="131">
        <v>63</v>
      </c>
      <c r="B371" s="46">
        <v>880</v>
      </c>
      <c r="C371" s="72" t="s">
        <v>325</v>
      </c>
      <c r="D371" s="78"/>
      <c r="E371" s="92"/>
      <c r="F371" s="101"/>
      <c r="G371" s="128"/>
    </row>
    <row r="372" spans="1:7" ht="38.25">
      <c r="A372" s="131"/>
      <c r="B372" s="46"/>
      <c r="C372" s="56" t="s">
        <v>344</v>
      </c>
      <c r="D372" s="78"/>
      <c r="E372" s="92"/>
      <c r="F372" s="101"/>
      <c r="G372" s="128"/>
    </row>
    <row r="373" spans="1:7" ht="38.25">
      <c r="A373" s="131"/>
      <c r="B373" s="46"/>
      <c r="C373" s="56" t="s">
        <v>326</v>
      </c>
      <c r="D373" s="78"/>
      <c r="E373" s="92"/>
      <c r="F373" s="101"/>
      <c r="G373" s="128"/>
    </row>
    <row r="374" spans="1:7">
      <c r="A374" s="131"/>
      <c r="B374" s="46"/>
      <c r="C374" s="64" t="e">
        <f>DisFor(F375)</f>
        <v>#VALUE!</v>
      </c>
      <c r="D374" s="78"/>
      <c r="E374" s="92"/>
      <c r="F374" s="101"/>
      <c r="G374" s="128"/>
    </row>
    <row r="375" spans="1:7">
      <c r="A375" s="131"/>
      <c r="B375" s="46"/>
      <c r="C375" s="56" t="s">
        <v>328</v>
      </c>
      <c r="D375" s="78" t="s">
        <v>327</v>
      </c>
      <c r="E375" s="92">
        <v>5</v>
      </c>
      <c r="F375" s="101"/>
      <c r="G375" s="128"/>
    </row>
    <row r="376" spans="1:7">
      <c r="A376" s="125">
        <v>64</v>
      </c>
      <c r="B376" s="47">
        <v>890</v>
      </c>
      <c r="C376" s="52" t="s">
        <v>171</v>
      </c>
      <c r="D376" s="57"/>
      <c r="E376" s="86"/>
      <c r="F376" s="100"/>
      <c r="G376" s="126"/>
    </row>
    <row r="377" spans="1:7" ht="25.5">
      <c r="A377" s="125"/>
      <c r="B377" s="47"/>
      <c r="C377" s="54" t="s">
        <v>172</v>
      </c>
      <c r="D377" s="57"/>
      <c r="E377" s="86"/>
      <c r="F377" s="100"/>
      <c r="G377" s="126"/>
    </row>
    <row r="378" spans="1:7">
      <c r="A378" s="125"/>
      <c r="B378" s="53"/>
      <c r="C378" s="63" t="s">
        <v>170</v>
      </c>
      <c r="D378" s="57" t="s">
        <v>2</v>
      </c>
      <c r="E378" s="86">
        <v>250</v>
      </c>
      <c r="F378" s="100"/>
      <c r="G378" s="126"/>
    </row>
    <row r="379" spans="1:7">
      <c r="A379" s="125">
        <v>65</v>
      </c>
      <c r="B379" s="47">
        <v>891</v>
      </c>
      <c r="C379" s="52" t="s">
        <v>269</v>
      </c>
      <c r="D379" s="57"/>
      <c r="E379" s="86"/>
      <c r="F379" s="100"/>
      <c r="G379" s="126"/>
    </row>
    <row r="380" spans="1:7">
      <c r="A380" s="125"/>
      <c r="B380" s="53"/>
      <c r="C380" s="63" t="s">
        <v>270</v>
      </c>
      <c r="D380" s="57" t="s">
        <v>16</v>
      </c>
      <c r="E380" s="86"/>
      <c r="F380" s="100"/>
      <c r="G380" s="126"/>
    </row>
    <row r="381" spans="1:7">
      <c r="A381" s="125">
        <v>66</v>
      </c>
      <c r="B381" s="47">
        <v>893</v>
      </c>
      <c r="C381" s="52" t="s">
        <v>271</v>
      </c>
      <c r="D381" s="57"/>
      <c r="E381" s="86"/>
      <c r="F381" s="100"/>
      <c r="G381" s="126"/>
    </row>
    <row r="382" spans="1:7" ht="15.75" thickBot="1">
      <c r="A382" s="125"/>
      <c r="B382" s="53"/>
      <c r="C382" s="63" t="s">
        <v>270</v>
      </c>
      <c r="D382" s="57" t="s">
        <v>16</v>
      </c>
      <c r="E382" s="86"/>
      <c r="F382" s="100"/>
      <c r="G382" s="126"/>
    </row>
    <row r="383" spans="1:7" s="2" customFormat="1" ht="15.75" thickBot="1">
      <c r="A383" s="348"/>
      <c r="B383" s="349"/>
      <c r="C383" s="350"/>
      <c r="D383" s="351"/>
      <c r="E383" s="352"/>
      <c r="F383" s="398" t="s">
        <v>87</v>
      </c>
      <c r="G383" s="399"/>
    </row>
    <row r="384" spans="1:7" ht="15.75" thickBot="1">
      <c r="A384" s="176"/>
      <c r="B384" s="177"/>
      <c r="C384" s="178"/>
      <c r="D384" s="179"/>
      <c r="E384" s="180"/>
      <c r="F384" s="181"/>
      <c r="G384" s="182"/>
    </row>
    <row r="385" spans="1:9" s="2" customFormat="1" ht="16.5" thickBot="1">
      <c r="A385" s="419" t="s">
        <v>88</v>
      </c>
      <c r="B385" s="420"/>
      <c r="C385" s="420"/>
      <c r="D385" s="420"/>
      <c r="E385" s="420"/>
      <c r="F385" s="412"/>
      <c r="G385" s="413"/>
      <c r="H385" s="376"/>
      <c r="I385" s="377"/>
    </row>
    <row r="386" spans="1:9">
      <c r="A386" s="60"/>
      <c r="D386" s="60"/>
      <c r="E386" s="89"/>
      <c r="F386" s="98"/>
      <c r="G386" s="98"/>
    </row>
    <row r="387" spans="1:9">
      <c r="A387" s="60"/>
      <c r="B387" s="164"/>
      <c r="C387" s="74"/>
      <c r="D387" s="60"/>
      <c r="E387" s="89"/>
      <c r="F387" s="98"/>
      <c r="G387" s="98"/>
    </row>
    <row r="388" spans="1:9">
      <c r="A388" s="60"/>
      <c r="B388" s="98"/>
      <c r="C388" s="74"/>
      <c r="D388" s="60"/>
      <c r="E388" s="89"/>
      <c r="F388" s="98"/>
      <c r="G388" s="98"/>
    </row>
    <row r="389" spans="1:9">
      <c r="A389" s="60"/>
      <c r="B389" s="414"/>
      <c r="C389" s="415"/>
      <c r="D389" s="60"/>
      <c r="E389" s="60"/>
      <c r="F389" s="98"/>
      <c r="G389" s="98"/>
    </row>
    <row r="390" spans="1:9">
      <c r="A390" s="60"/>
      <c r="B390" s="165"/>
      <c r="C390" s="76"/>
      <c r="D390" s="60"/>
      <c r="E390" s="60"/>
      <c r="F390" s="98"/>
      <c r="G390" s="98"/>
    </row>
    <row r="391" spans="1:9">
      <c r="B391" s="403"/>
      <c r="C391" s="404"/>
      <c r="D391" s="404"/>
      <c r="E391" s="404"/>
      <c r="F391" s="405"/>
    </row>
    <row r="392" spans="1:9">
      <c r="B392" s="406"/>
      <c r="C392" s="407"/>
      <c r="D392" s="407"/>
      <c r="E392" s="407"/>
      <c r="F392" s="408"/>
    </row>
    <row r="393" spans="1:9">
      <c r="B393" s="409"/>
      <c r="C393" s="410"/>
      <c r="D393" s="410"/>
      <c r="E393" s="410"/>
      <c r="F393" s="411"/>
      <c r="G393" s="108"/>
    </row>
    <row r="394" spans="1:9">
      <c r="F394" s="108"/>
      <c r="G394" s="108"/>
    </row>
    <row r="395" spans="1:9">
      <c r="F395" s="108"/>
      <c r="G395" s="108"/>
    </row>
    <row r="396" spans="1:9">
      <c r="F396" s="108"/>
      <c r="G396" s="108"/>
    </row>
    <row r="397" spans="1:9">
      <c r="F397" s="108"/>
      <c r="G397" s="108"/>
    </row>
    <row r="398" spans="1:9">
      <c r="F398" s="108"/>
      <c r="G398" s="108"/>
    </row>
    <row r="399" spans="1:9">
      <c r="F399" s="108"/>
      <c r="G399" s="108"/>
    </row>
    <row r="400" spans="1:9">
      <c r="F400" s="108"/>
      <c r="G400" s="108"/>
    </row>
    <row r="402" spans="3:7">
      <c r="C402" s="77"/>
    </row>
    <row r="403" spans="3:7">
      <c r="C403" s="77"/>
      <c r="G403" s="109"/>
    </row>
  </sheetData>
  <sheetProtection selectLockedCells="1" selectUnlockedCells="1"/>
  <mergeCells count="9">
    <mergeCell ref="A1:G1"/>
    <mergeCell ref="B391:F393"/>
    <mergeCell ref="F385:G385"/>
    <mergeCell ref="B389:C389"/>
    <mergeCell ref="M203:T203"/>
    <mergeCell ref="D147:F147"/>
    <mergeCell ref="D146:F146"/>
    <mergeCell ref="A385:E385"/>
    <mergeCell ref="A3:G3"/>
  </mergeCells>
  <printOptions horizontalCentered="1"/>
  <pageMargins left="0.98425196850393704" right="0.39370078740157483" top="0.39370078740157483" bottom="0.39370078740157483" header="0" footer="0"/>
  <pageSetup paperSize="9" firstPageNumber="0" orientation="portrait" r:id="rId1"/>
  <headerFooter alignWithMargins="0"/>
  <rowBreaks count="1" manualBreakCount="1">
    <brk id="65" min="3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96"/>
  <sheetViews>
    <sheetView view="pageBreakPreview" zoomScale="115" zoomScaleNormal="115" zoomScaleSheetLayoutView="115" workbookViewId="0">
      <selection activeCell="F15" sqref="F14:F15"/>
    </sheetView>
  </sheetViews>
  <sheetFormatPr defaultColWidth="9.140625" defaultRowHeight="15"/>
  <cols>
    <col min="1" max="1" width="4" style="61" customWidth="1"/>
    <col min="2" max="2" width="7.42578125" style="107" customWidth="1"/>
    <col min="3" max="3" width="37.5703125" style="195" customWidth="1"/>
    <col min="4" max="4" width="7" style="61" customWidth="1"/>
    <col min="5" max="5" width="9.5703125" style="61" customWidth="1"/>
    <col min="6" max="6" width="11.5703125" style="107" customWidth="1"/>
    <col min="7" max="7" width="16.28515625" style="107" customWidth="1"/>
    <col min="8" max="8" width="24.85546875" customWidth="1"/>
    <col min="9" max="9" width="11.85546875" customWidth="1"/>
    <col min="10" max="10" width="7.28515625" customWidth="1"/>
    <col min="11" max="11" width="32.7109375" customWidth="1"/>
  </cols>
  <sheetData>
    <row r="1" spans="1:24" ht="15.75">
      <c r="A1" s="421" t="s">
        <v>358</v>
      </c>
      <c r="B1" s="421"/>
      <c r="C1" s="421"/>
      <c r="D1" s="421"/>
      <c r="E1" s="421"/>
      <c r="F1" s="421"/>
      <c r="G1" s="421"/>
    </row>
    <row r="2" spans="1:24" ht="15.75">
      <c r="A2" s="421" t="s">
        <v>368</v>
      </c>
      <c r="B2" s="421"/>
      <c r="C2" s="421"/>
      <c r="D2" s="421"/>
      <c r="E2" s="421"/>
      <c r="F2" s="421"/>
      <c r="G2" s="421"/>
    </row>
    <row r="3" spans="1:24" ht="15.75" thickBot="1">
      <c r="A3" s="59"/>
      <c r="B3" s="159"/>
      <c r="C3" s="189"/>
      <c r="D3" s="60"/>
      <c r="E3" s="60"/>
      <c r="F3" s="98"/>
      <c r="G3" s="98"/>
    </row>
    <row r="4" spans="1:24" s="2" customFormat="1" ht="26.25" thickBot="1">
      <c r="A4" s="378" t="s">
        <v>6</v>
      </c>
      <c r="B4" s="379" t="s">
        <v>7</v>
      </c>
      <c r="C4" s="380" t="s">
        <v>8</v>
      </c>
      <c r="D4" s="379" t="s">
        <v>9</v>
      </c>
      <c r="E4" s="379" t="s">
        <v>10</v>
      </c>
      <c r="F4" s="253" t="s">
        <v>11</v>
      </c>
      <c r="G4" s="381" t="s">
        <v>372</v>
      </c>
      <c r="L4" s="3"/>
      <c r="M4" s="3"/>
    </row>
    <row r="5" spans="1:24" s="2" customFormat="1" ht="15.75" thickBot="1">
      <c r="A5" s="353"/>
      <c r="B5" s="140" t="s">
        <v>12</v>
      </c>
      <c r="C5" s="382" t="s">
        <v>13</v>
      </c>
      <c r="D5" s="146"/>
      <c r="E5" s="146"/>
      <c r="F5" s="363"/>
      <c r="G5" s="383"/>
      <c r="Q5" s="1"/>
      <c r="R5" s="1"/>
      <c r="S5" s="1"/>
      <c r="T5" s="1"/>
      <c r="U5" s="1"/>
      <c r="V5" s="1"/>
      <c r="W5" s="1"/>
      <c r="X5" s="1"/>
    </row>
    <row r="6" spans="1:24">
      <c r="A6" s="147">
        <v>1</v>
      </c>
      <c r="B6" s="38"/>
      <c r="C6" s="39" t="s">
        <v>296</v>
      </c>
      <c r="D6" s="90"/>
      <c r="E6" s="91"/>
      <c r="F6" s="99"/>
      <c r="G6" s="148"/>
      <c r="Q6" s="1"/>
      <c r="R6" s="1"/>
      <c r="S6" s="1"/>
      <c r="T6" s="1"/>
      <c r="U6" s="1"/>
      <c r="V6" s="1"/>
      <c r="W6" s="1"/>
      <c r="X6" s="1"/>
    </row>
    <row r="7" spans="1:24" ht="63.75">
      <c r="A7" s="125"/>
      <c r="B7" s="47"/>
      <c r="C7" s="54" t="s">
        <v>369</v>
      </c>
      <c r="D7" s="57"/>
      <c r="E7" s="86"/>
      <c r="F7" s="100"/>
      <c r="G7" s="126"/>
      <c r="Q7" s="1"/>
      <c r="R7" s="1"/>
      <c r="S7" s="1"/>
      <c r="T7" s="1"/>
      <c r="U7" s="1"/>
      <c r="V7" s="1"/>
      <c r="W7" s="1"/>
      <c r="X7" s="1"/>
    </row>
    <row r="8" spans="1:24" ht="38.25">
      <c r="A8" s="125"/>
      <c r="B8" s="47"/>
      <c r="C8" s="54" t="s">
        <v>297</v>
      </c>
      <c r="D8" s="57"/>
      <c r="E8" s="86"/>
      <c r="F8" s="100"/>
      <c r="G8" s="126"/>
      <c r="Q8" s="1"/>
      <c r="R8" s="1"/>
      <c r="S8" s="1"/>
      <c r="T8" s="1"/>
      <c r="U8" s="1"/>
      <c r="V8" s="1"/>
      <c r="W8" s="1"/>
      <c r="X8" s="1"/>
    </row>
    <row r="9" spans="1:24">
      <c r="A9" s="125"/>
      <c r="B9" s="47"/>
      <c r="C9" s="54" t="s">
        <v>15</v>
      </c>
      <c r="D9" s="57" t="s">
        <v>16</v>
      </c>
      <c r="E9" s="86"/>
      <c r="F9" s="100"/>
      <c r="G9" s="126"/>
      <c r="Q9" s="1"/>
      <c r="R9" s="1"/>
      <c r="S9" s="1"/>
      <c r="T9" s="1"/>
      <c r="U9" s="1"/>
      <c r="V9" s="1"/>
      <c r="W9" s="1"/>
      <c r="X9" s="1"/>
    </row>
    <row r="10" spans="1:24">
      <c r="A10" s="219">
        <v>2</v>
      </c>
      <c r="B10" s="32">
        <v>101</v>
      </c>
      <c r="C10" s="203" t="s">
        <v>14</v>
      </c>
      <c r="D10" s="186"/>
      <c r="E10" s="197"/>
      <c r="F10" s="200"/>
      <c r="G10" s="220"/>
      <c r="K10" s="5"/>
      <c r="L10" s="6"/>
    </row>
    <row r="11" spans="1:24" ht="99" customHeight="1">
      <c r="A11" s="219"/>
      <c r="B11" s="32"/>
      <c r="C11" s="187" t="s">
        <v>374</v>
      </c>
      <c r="D11" s="186"/>
      <c r="E11" s="197"/>
      <c r="F11" s="200"/>
      <c r="G11" s="220"/>
      <c r="K11" s="5"/>
      <c r="L11" s="6"/>
    </row>
    <row r="12" spans="1:24">
      <c r="A12" s="219"/>
      <c r="B12" s="32"/>
      <c r="C12" s="204" t="s">
        <v>15</v>
      </c>
      <c r="D12" s="186" t="s">
        <v>16</v>
      </c>
      <c r="E12" s="197"/>
      <c r="F12" s="200"/>
      <c r="G12" s="220"/>
      <c r="K12" s="5"/>
      <c r="L12" s="6"/>
    </row>
    <row r="13" spans="1:24">
      <c r="A13" s="219"/>
      <c r="B13" s="32" t="s">
        <v>17</v>
      </c>
      <c r="C13" s="205" t="s">
        <v>18</v>
      </c>
      <c r="D13" s="186"/>
      <c r="E13" s="186"/>
      <c r="F13" s="200"/>
      <c r="G13" s="220"/>
      <c r="K13" s="5"/>
      <c r="L13" s="6"/>
    </row>
    <row r="14" spans="1:24" ht="25.5">
      <c r="A14" s="219">
        <v>3</v>
      </c>
      <c r="B14" s="32">
        <v>111</v>
      </c>
      <c r="C14" s="187" t="s">
        <v>19</v>
      </c>
      <c r="D14" s="186"/>
      <c r="E14" s="186"/>
      <c r="F14" s="200"/>
      <c r="G14" s="220"/>
      <c r="K14" s="5"/>
      <c r="L14" s="6"/>
    </row>
    <row r="15" spans="1:24" ht="25.5">
      <c r="A15" s="219"/>
      <c r="B15" s="32"/>
      <c r="C15" s="187" t="s">
        <v>20</v>
      </c>
      <c r="D15" s="186"/>
      <c r="E15" s="186"/>
      <c r="F15" s="200"/>
      <c r="G15" s="220"/>
      <c r="K15" s="5"/>
      <c r="L15" s="6"/>
    </row>
    <row r="16" spans="1:24">
      <c r="A16" s="219"/>
      <c r="B16" s="32"/>
      <c r="C16" s="204" t="s">
        <v>15</v>
      </c>
      <c r="D16" s="186" t="s">
        <v>16</v>
      </c>
      <c r="E16" s="186"/>
      <c r="F16" s="200"/>
      <c r="G16" s="220"/>
      <c r="K16" s="5"/>
      <c r="L16" s="6"/>
    </row>
    <row r="17" spans="1:23">
      <c r="A17" s="125"/>
      <c r="B17" s="47" t="s">
        <v>27</v>
      </c>
      <c r="C17" s="206" t="s">
        <v>147</v>
      </c>
      <c r="D17" s="57"/>
      <c r="E17" s="57"/>
      <c r="F17" s="100"/>
      <c r="G17" s="126"/>
      <c r="L17" s="8"/>
      <c r="M17" s="9"/>
    </row>
    <row r="18" spans="1:23" ht="38.25">
      <c r="A18" s="219">
        <v>4</v>
      </c>
      <c r="B18" s="32">
        <v>127</v>
      </c>
      <c r="C18" s="203" t="s">
        <v>34</v>
      </c>
      <c r="D18" s="186"/>
      <c r="E18" s="186"/>
      <c r="F18" s="200"/>
      <c r="G18" s="220"/>
      <c r="L18" s="1"/>
      <c r="M18" s="9"/>
    </row>
    <row r="19" spans="1:23">
      <c r="A19" s="219"/>
      <c r="B19" s="183"/>
      <c r="C19" s="204" t="s">
        <v>179</v>
      </c>
      <c r="D19" s="186"/>
      <c r="E19" s="186"/>
      <c r="F19" s="200"/>
      <c r="G19" s="220"/>
      <c r="L19" s="1"/>
      <c r="M19" s="9"/>
    </row>
    <row r="20" spans="1:23">
      <c r="A20" s="219"/>
      <c r="B20" s="183"/>
      <c r="C20" s="187" t="str">
        <f>DisFor(E21)</f>
        <v>2 · 4.3</v>
      </c>
      <c r="D20" s="186"/>
      <c r="E20" s="186"/>
      <c r="F20" s="200"/>
      <c r="G20" s="220"/>
      <c r="L20" s="1"/>
      <c r="M20" s="9"/>
    </row>
    <row r="21" spans="1:23">
      <c r="A21" s="219"/>
      <c r="B21" s="183"/>
      <c r="C21" s="187" t="s">
        <v>35</v>
      </c>
      <c r="D21" s="186" t="s">
        <v>3</v>
      </c>
      <c r="E21" s="197">
        <f>2*4.3</f>
        <v>8.6</v>
      </c>
      <c r="F21" s="200"/>
      <c r="G21" s="220"/>
      <c r="L21" s="1"/>
      <c r="M21" s="9"/>
    </row>
    <row r="22" spans="1:23" s="10" customFormat="1" ht="25.5">
      <c r="A22" s="219">
        <v>5</v>
      </c>
      <c r="B22" s="32">
        <v>130</v>
      </c>
      <c r="C22" s="190" t="s">
        <v>36</v>
      </c>
      <c r="D22" s="196"/>
      <c r="E22" s="196"/>
      <c r="F22" s="201"/>
      <c r="G22" s="221"/>
      <c r="L22" s="11"/>
      <c r="M22" s="9"/>
      <c r="N22" s="12"/>
      <c r="O22" s="12"/>
      <c r="P22" s="12"/>
      <c r="Q22" s="12"/>
      <c r="R22" s="12"/>
      <c r="S22" s="12"/>
      <c r="T22" s="12"/>
      <c r="U22" s="13"/>
      <c r="V22" s="13"/>
      <c r="W22" s="13"/>
    </row>
    <row r="23" spans="1:23" s="10" customFormat="1">
      <c r="A23" s="219"/>
      <c r="B23" s="184"/>
      <c r="C23" s="187" t="str">
        <f>DisFor(E24)</f>
        <v>1 · 85.6</v>
      </c>
      <c r="D23" s="186"/>
      <c r="E23" s="197"/>
      <c r="F23" s="200"/>
      <c r="G23" s="220"/>
      <c r="L23" s="11"/>
      <c r="M23" s="9"/>
      <c r="N23" s="12"/>
      <c r="O23" s="12"/>
      <c r="P23" s="12"/>
      <c r="Q23" s="12"/>
      <c r="R23" s="12"/>
      <c r="S23" s="12"/>
      <c r="T23" s="12"/>
      <c r="U23" s="13"/>
      <c r="V23" s="13"/>
      <c r="W23" s="13"/>
    </row>
    <row r="24" spans="1:23" s="10" customFormat="1">
      <c r="A24" s="222"/>
      <c r="B24" s="201"/>
      <c r="C24" s="207" t="s">
        <v>37</v>
      </c>
      <c r="D24" s="196" t="s">
        <v>3</v>
      </c>
      <c r="E24" s="197">
        <f>1*85.6</f>
        <v>85.6</v>
      </c>
      <c r="F24" s="200"/>
      <c r="G24" s="220"/>
      <c r="L24" s="11"/>
      <c r="M24" s="9"/>
      <c r="N24" s="12"/>
      <c r="O24" s="12"/>
      <c r="P24" s="12"/>
      <c r="Q24" s="12"/>
      <c r="R24" s="12"/>
      <c r="S24" s="12"/>
      <c r="T24" s="12"/>
      <c r="U24" s="13"/>
      <c r="V24" s="13"/>
      <c r="W24" s="13"/>
    </row>
    <row r="25" spans="1:23" s="10" customFormat="1" ht="25.5">
      <c r="A25" s="219"/>
      <c r="B25" s="32">
        <v>131</v>
      </c>
      <c r="C25" s="190" t="s">
        <v>38</v>
      </c>
      <c r="D25" s="196"/>
      <c r="E25" s="196"/>
      <c r="F25" s="201"/>
      <c r="G25" s="221"/>
      <c r="L25" s="11"/>
      <c r="M25" s="9"/>
      <c r="N25" s="12"/>
      <c r="O25" s="12"/>
      <c r="P25" s="12"/>
      <c r="Q25" s="12"/>
      <c r="R25" s="12"/>
      <c r="S25" s="12"/>
      <c r="T25" s="12"/>
      <c r="U25" s="13"/>
      <c r="V25" s="13"/>
      <c r="W25" s="13"/>
    </row>
    <row r="26" spans="1:23" s="10" customFormat="1" ht="51">
      <c r="A26" s="219">
        <v>6</v>
      </c>
      <c r="B26" s="32" t="s">
        <v>115</v>
      </c>
      <c r="C26" s="54" t="s">
        <v>337</v>
      </c>
      <c r="D26" s="57"/>
      <c r="E26" s="86"/>
      <c r="F26" s="200"/>
      <c r="G26" s="220"/>
      <c r="L26" s="11"/>
      <c r="M26" s="9"/>
      <c r="N26" s="12"/>
      <c r="O26" s="12"/>
      <c r="P26" s="12"/>
      <c r="Q26" s="12"/>
      <c r="R26" s="12"/>
      <c r="S26" s="12"/>
      <c r="T26" s="12"/>
      <c r="U26" s="13"/>
      <c r="V26" s="13"/>
      <c r="W26" s="13"/>
    </row>
    <row r="27" spans="1:23" s="10" customFormat="1">
      <c r="A27" s="219"/>
      <c r="B27" s="183"/>
      <c r="C27" s="54" t="str">
        <f>DisFor(E28)</f>
        <v>(0.1+0.02) · 4.3 · 76.2</v>
      </c>
      <c r="D27" s="78"/>
      <c r="E27" s="86"/>
      <c r="F27" s="200"/>
      <c r="G27" s="220"/>
      <c r="L27" s="11"/>
      <c r="M27" s="9"/>
      <c r="N27" s="12"/>
      <c r="O27" s="12"/>
      <c r="P27" s="12"/>
      <c r="Q27" s="12"/>
      <c r="R27" s="12"/>
      <c r="S27" s="12"/>
      <c r="T27" s="12"/>
      <c r="U27" s="13"/>
      <c r="V27" s="13"/>
      <c r="W27" s="13"/>
    </row>
    <row r="28" spans="1:23">
      <c r="A28" s="219"/>
      <c r="B28" s="201"/>
      <c r="C28" s="54" t="s">
        <v>39</v>
      </c>
      <c r="D28" s="57" t="s">
        <v>0</v>
      </c>
      <c r="E28" s="86">
        <f>(0.1+0.02)*4.3*76.2</f>
        <v>39.319200000000002</v>
      </c>
      <c r="F28" s="200"/>
      <c r="G28" s="220"/>
      <c r="L28" s="1"/>
      <c r="M28" s="9"/>
    </row>
    <row r="29" spans="1:23" s="10" customFormat="1" ht="25.5">
      <c r="A29" s="219">
        <v>7</v>
      </c>
      <c r="B29" s="46" t="s">
        <v>198</v>
      </c>
      <c r="C29" s="64" t="s">
        <v>303</v>
      </c>
      <c r="D29" s="48"/>
      <c r="E29" s="79"/>
      <c r="F29" s="102"/>
      <c r="G29" s="129"/>
      <c r="L29" s="11"/>
      <c r="M29" s="9"/>
      <c r="N29" s="12"/>
      <c r="O29" s="12"/>
      <c r="P29" s="12"/>
      <c r="Q29" s="12"/>
      <c r="R29" s="12"/>
      <c r="S29" s="12"/>
      <c r="T29" s="12"/>
      <c r="U29" s="13"/>
      <c r="V29" s="13"/>
      <c r="W29" s="13"/>
    </row>
    <row r="30" spans="1:23" s="10" customFormat="1" ht="76.5">
      <c r="A30" s="219"/>
      <c r="B30" s="46"/>
      <c r="C30" s="64" t="s">
        <v>209</v>
      </c>
      <c r="D30" s="48"/>
      <c r="E30" s="79"/>
      <c r="F30" s="102"/>
      <c r="G30" s="129"/>
      <c r="L30" s="11"/>
      <c r="M30" s="9"/>
      <c r="N30" s="12"/>
      <c r="O30" s="12"/>
      <c r="P30" s="12"/>
      <c r="Q30" s="12"/>
      <c r="R30" s="12"/>
      <c r="S30" s="12"/>
      <c r="T30" s="12"/>
      <c r="U30" s="13"/>
      <c r="V30" s="13"/>
      <c r="W30" s="13"/>
    </row>
    <row r="31" spans="1:23" s="10" customFormat="1">
      <c r="A31" s="219"/>
      <c r="B31" s="46"/>
      <c r="C31" s="64" t="s">
        <v>200</v>
      </c>
      <c r="D31" s="48"/>
      <c r="E31" s="79"/>
      <c r="F31" s="102"/>
      <c r="G31" s="129"/>
      <c r="L31" s="11"/>
      <c r="M31" s="9"/>
      <c r="N31" s="12"/>
      <c r="O31" s="12"/>
      <c r="P31" s="12"/>
      <c r="Q31" s="12"/>
      <c r="R31" s="12"/>
      <c r="S31" s="12"/>
      <c r="T31" s="12"/>
      <c r="U31" s="13"/>
      <c r="V31" s="13"/>
      <c r="W31" s="13"/>
    </row>
    <row r="32" spans="1:23" s="10" customFormat="1">
      <c r="A32" s="219"/>
      <c r="B32" s="155"/>
      <c r="C32" s="187" t="str">
        <f>DisFor(E32)</f>
        <v>(1+0.5+0.5+0.5+0.5+1) · 0.04</v>
      </c>
      <c r="D32" s="78" t="s">
        <v>0</v>
      </c>
      <c r="E32" s="92">
        <f>(1+0.5+0.5+0.5+0.5+1)*0.04</f>
        <v>0.16</v>
      </c>
      <c r="F32" s="101"/>
      <c r="G32" s="128"/>
      <c r="L32" s="11"/>
      <c r="M32" s="9"/>
      <c r="N32" s="12"/>
      <c r="O32" s="12"/>
      <c r="P32" s="12"/>
      <c r="Q32" s="12"/>
      <c r="R32" s="12"/>
      <c r="S32" s="12"/>
      <c r="T32" s="12"/>
      <c r="U32" s="13"/>
      <c r="V32" s="13"/>
      <c r="W32" s="13"/>
    </row>
    <row r="33" spans="1:23" s="10" customFormat="1">
      <c r="A33" s="219"/>
      <c r="B33" s="155"/>
      <c r="C33" s="64" t="s">
        <v>304</v>
      </c>
      <c r="D33" s="78"/>
      <c r="E33" s="92"/>
      <c r="F33" s="101"/>
      <c r="G33" s="128"/>
      <c r="L33" s="11"/>
      <c r="M33" s="9"/>
      <c r="N33" s="12"/>
      <c r="O33" s="12"/>
      <c r="P33" s="12"/>
      <c r="Q33" s="12"/>
      <c r="R33" s="12"/>
      <c r="S33" s="12"/>
      <c r="T33" s="12"/>
      <c r="U33" s="13"/>
      <c r="V33" s="13"/>
      <c r="W33" s="13"/>
    </row>
    <row r="34" spans="1:23" s="10" customFormat="1">
      <c r="A34" s="219"/>
      <c r="B34" s="155"/>
      <c r="C34" s="187" t="str">
        <f>DisFor(E34)</f>
        <v>0.5 · 0.5+0.5 · 0.4 · 0.1 · 0.5</v>
      </c>
      <c r="D34" s="78" t="s">
        <v>0</v>
      </c>
      <c r="E34" s="92">
        <f>0.5*0.5+0.5*0.4*0.1*0.5</f>
        <v>0.26</v>
      </c>
      <c r="F34" s="101"/>
      <c r="G34" s="128"/>
      <c r="L34" s="11"/>
      <c r="M34" s="9"/>
      <c r="N34" s="12"/>
      <c r="O34" s="12"/>
      <c r="P34" s="12"/>
      <c r="Q34" s="12"/>
      <c r="R34" s="12"/>
      <c r="S34" s="12"/>
      <c r="T34" s="12"/>
      <c r="U34" s="13"/>
      <c r="V34" s="13"/>
      <c r="W34" s="13"/>
    </row>
    <row r="35" spans="1:23" s="10" customFormat="1">
      <c r="A35" s="219"/>
      <c r="B35" s="155"/>
      <c r="C35" s="64" t="s">
        <v>305</v>
      </c>
      <c r="D35" s="78"/>
      <c r="E35" s="92"/>
      <c r="F35" s="101"/>
      <c r="G35" s="128"/>
      <c r="L35" s="11"/>
      <c r="M35" s="9"/>
      <c r="N35" s="12"/>
      <c r="O35" s="12"/>
      <c r="P35" s="12"/>
      <c r="Q35" s="12"/>
      <c r="R35" s="12"/>
      <c r="S35" s="12"/>
      <c r="T35" s="12"/>
      <c r="U35" s="13"/>
      <c r="V35" s="13"/>
      <c r="W35" s="13"/>
    </row>
    <row r="36" spans="1:23" s="10" customFormat="1">
      <c r="A36" s="219"/>
      <c r="B36" s="155"/>
      <c r="C36" s="187" t="str">
        <f>DisFor(E36)</f>
        <v>0.171 · 0.8 · 2</v>
      </c>
      <c r="D36" s="78" t="s">
        <v>0</v>
      </c>
      <c r="E36" s="92">
        <f>0.171*0.8*2</f>
        <v>0.27360000000000001</v>
      </c>
      <c r="F36" s="101"/>
      <c r="G36" s="128"/>
      <c r="L36" s="11"/>
      <c r="M36" s="9"/>
      <c r="N36" s="12"/>
      <c r="O36" s="12"/>
      <c r="P36" s="12"/>
      <c r="Q36" s="12"/>
      <c r="R36" s="12"/>
      <c r="S36" s="12"/>
      <c r="T36" s="12"/>
      <c r="U36" s="13"/>
      <c r="V36" s="13"/>
      <c r="W36" s="13"/>
    </row>
    <row r="37" spans="1:23">
      <c r="A37" s="219"/>
      <c r="B37" s="201"/>
      <c r="C37" s="187" t="s">
        <v>39</v>
      </c>
      <c r="D37" s="186" t="s">
        <v>0</v>
      </c>
      <c r="E37" s="197">
        <f>SUM(E29:E36)</f>
        <v>0.69359999999999999</v>
      </c>
      <c r="F37" s="200"/>
      <c r="G37" s="220"/>
      <c r="L37" s="1"/>
      <c r="M37" s="9"/>
    </row>
    <row r="38" spans="1:23" s="10" customFormat="1">
      <c r="A38" s="219">
        <v>8</v>
      </c>
      <c r="B38" s="46" t="s">
        <v>206</v>
      </c>
      <c r="C38" s="64" t="s">
        <v>306</v>
      </c>
      <c r="D38" s="48"/>
      <c r="E38" s="79"/>
      <c r="F38" s="102"/>
      <c r="G38" s="129"/>
      <c r="L38" s="11"/>
      <c r="M38" s="9"/>
      <c r="N38" s="12"/>
      <c r="O38" s="12"/>
      <c r="P38" s="12"/>
      <c r="Q38" s="12"/>
      <c r="R38" s="12"/>
      <c r="S38" s="12"/>
      <c r="T38" s="12"/>
      <c r="U38" s="13"/>
      <c r="V38" s="13"/>
      <c r="W38" s="13"/>
    </row>
    <row r="39" spans="1:23" s="10" customFormat="1" ht="76.5">
      <c r="A39" s="219"/>
      <c r="B39" s="46"/>
      <c r="C39" s="64" t="s">
        <v>209</v>
      </c>
      <c r="D39" s="48"/>
      <c r="E39" s="79"/>
      <c r="F39" s="102"/>
      <c r="G39" s="129"/>
      <c r="L39" s="11"/>
      <c r="M39" s="9"/>
      <c r="N39" s="12"/>
      <c r="O39" s="12"/>
      <c r="P39" s="12"/>
      <c r="Q39" s="12"/>
      <c r="R39" s="12"/>
      <c r="S39" s="12"/>
      <c r="T39" s="12"/>
      <c r="U39" s="13"/>
      <c r="V39" s="13"/>
      <c r="W39" s="13"/>
    </row>
    <row r="40" spans="1:23" s="10" customFormat="1">
      <c r="A40" s="219"/>
      <c r="B40" s="46"/>
      <c r="C40" s="64" t="s">
        <v>307</v>
      </c>
      <c r="D40" s="48"/>
      <c r="E40" s="79"/>
      <c r="F40" s="102"/>
      <c r="G40" s="129"/>
      <c r="L40" s="11"/>
      <c r="M40" s="9"/>
      <c r="N40" s="12"/>
      <c r="O40" s="12"/>
      <c r="P40" s="12"/>
      <c r="Q40" s="12"/>
      <c r="R40" s="12"/>
      <c r="S40" s="12"/>
      <c r="T40" s="12"/>
      <c r="U40" s="13"/>
      <c r="V40" s="13"/>
      <c r="W40" s="13"/>
    </row>
    <row r="41" spans="1:23" s="10" customFormat="1">
      <c r="A41" s="219"/>
      <c r="B41" s="155"/>
      <c r="C41" s="187" t="str">
        <f>DisFor(E42)</f>
        <v>0.2 · 0.4 · 3</v>
      </c>
      <c r="D41" s="78" t="s">
        <v>0</v>
      </c>
      <c r="E41" s="92"/>
      <c r="F41" s="101"/>
      <c r="G41" s="128"/>
      <c r="L41" s="11"/>
      <c r="M41" s="9"/>
      <c r="N41" s="12"/>
      <c r="O41" s="12"/>
      <c r="P41" s="12"/>
      <c r="Q41" s="12"/>
      <c r="R41" s="12"/>
      <c r="S41" s="12"/>
      <c r="T41" s="12"/>
      <c r="U41" s="13"/>
      <c r="V41" s="13"/>
      <c r="W41" s="13"/>
    </row>
    <row r="42" spans="1:23">
      <c r="A42" s="219"/>
      <c r="B42" s="201"/>
      <c r="C42" s="187" t="s">
        <v>39</v>
      </c>
      <c r="D42" s="186" t="s">
        <v>0</v>
      </c>
      <c r="E42" s="197">
        <f>0.2*0.4*3</f>
        <v>0.24000000000000005</v>
      </c>
      <c r="F42" s="200"/>
      <c r="G42" s="220"/>
      <c r="L42" s="1"/>
      <c r="M42" s="9"/>
    </row>
    <row r="43" spans="1:23" ht="25.5">
      <c r="A43" s="219">
        <v>9</v>
      </c>
      <c r="B43" s="47" t="s">
        <v>311</v>
      </c>
      <c r="C43" s="191" t="s">
        <v>308</v>
      </c>
      <c r="D43" s="48"/>
      <c r="E43" s="79"/>
      <c r="F43" s="102"/>
      <c r="G43" s="129"/>
      <c r="L43" s="1"/>
      <c r="M43" s="9"/>
    </row>
    <row r="44" spans="1:23" ht="63.75">
      <c r="A44" s="219"/>
      <c r="B44" s="47"/>
      <c r="C44" s="191" t="s">
        <v>309</v>
      </c>
      <c r="D44" s="48"/>
      <c r="E44" s="79"/>
      <c r="F44" s="102"/>
      <c r="G44" s="129"/>
      <c r="L44" s="1"/>
      <c r="M44" s="9"/>
    </row>
    <row r="45" spans="1:23" ht="25.5">
      <c r="A45" s="219"/>
      <c r="B45" s="47"/>
      <c r="C45" s="54" t="s">
        <v>310</v>
      </c>
      <c r="D45" s="48"/>
      <c r="E45" s="79"/>
      <c r="F45" s="102"/>
      <c r="G45" s="129"/>
      <c r="L45" s="1"/>
      <c r="M45" s="9"/>
    </row>
    <row r="46" spans="1:23">
      <c r="A46" s="219"/>
      <c r="B46" s="53"/>
      <c r="C46" s="187" t="str">
        <f>DisFor(E47)</f>
        <v>4 · 1.81 · 2</v>
      </c>
      <c r="D46" s="80" t="s">
        <v>203</v>
      </c>
      <c r="E46" s="86"/>
      <c r="F46" s="100"/>
      <c r="G46" s="126"/>
      <c r="L46" s="1"/>
      <c r="M46" s="9"/>
    </row>
    <row r="47" spans="1:23">
      <c r="A47" s="219"/>
      <c r="B47" s="102"/>
      <c r="C47" s="54" t="s">
        <v>205</v>
      </c>
      <c r="D47" s="80" t="s">
        <v>203</v>
      </c>
      <c r="E47" s="86">
        <f>4*1.81*2</f>
        <v>14.48</v>
      </c>
      <c r="F47" s="100"/>
      <c r="G47" s="126"/>
      <c r="L47" s="1"/>
      <c r="M47" s="9"/>
    </row>
    <row r="48" spans="1:23">
      <c r="A48" s="219">
        <v>10</v>
      </c>
      <c r="B48" s="47">
        <v>135</v>
      </c>
      <c r="C48" s="208" t="s">
        <v>146</v>
      </c>
      <c r="D48" s="48"/>
      <c r="E48" s="86"/>
      <c r="F48" s="100"/>
      <c r="G48" s="126"/>
      <c r="L48" s="1"/>
      <c r="M48" s="9"/>
    </row>
    <row r="49" spans="1:13" ht="89.25">
      <c r="A49" s="219"/>
      <c r="B49" s="46"/>
      <c r="C49" s="49" t="s">
        <v>219</v>
      </c>
      <c r="D49" s="48"/>
      <c r="E49" s="92"/>
      <c r="F49" s="101"/>
      <c r="G49" s="128"/>
      <c r="L49" s="1"/>
      <c r="M49" s="9"/>
    </row>
    <row r="50" spans="1:13">
      <c r="A50" s="219"/>
      <c r="B50" s="46"/>
      <c r="C50" s="64" t="s">
        <v>200</v>
      </c>
      <c r="D50" s="198"/>
      <c r="E50" s="199"/>
      <c r="F50" s="101"/>
      <c r="G50" s="128"/>
      <c r="L50" s="1"/>
      <c r="M50" s="9"/>
    </row>
    <row r="51" spans="1:13">
      <c r="A51" s="219"/>
      <c r="B51" s="46"/>
      <c r="C51" s="187" t="str">
        <f>DisFor(E51)</f>
        <v>4 · 8+3.5 · 8</v>
      </c>
      <c r="D51" s="78" t="s">
        <v>2</v>
      </c>
      <c r="E51" s="92">
        <f>4*8+3.5*8</f>
        <v>60</v>
      </c>
      <c r="F51" s="101"/>
      <c r="G51" s="128"/>
      <c r="L51" s="1"/>
      <c r="M51" s="9"/>
    </row>
    <row r="52" spans="1:13" ht="16.899999999999999" customHeight="1">
      <c r="A52" s="219"/>
      <c r="B52" s="155"/>
      <c r="C52" s="66" t="s">
        <v>312</v>
      </c>
      <c r="D52" s="198"/>
      <c r="E52" s="199"/>
      <c r="F52" s="101"/>
      <c r="G52" s="128"/>
      <c r="L52" s="1"/>
      <c r="M52" s="9"/>
    </row>
    <row r="53" spans="1:13">
      <c r="A53" s="219"/>
      <c r="B53" s="155"/>
      <c r="C53" s="187" t="str">
        <f>DisFor(E53)</f>
        <v>(1.4 · 2+0.8 · 2) · 7.55 · 2+(1.21 · 2+4.18 · 0.8) · 2</v>
      </c>
      <c r="D53" s="78" t="s">
        <v>2</v>
      </c>
      <c r="E53" s="92">
        <f>(1.4*2+0.8*2)*7.55*2+(1.21*2+4.18*0.8)*2</f>
        <v>77.967999999999989</v>
      </c>
      <c r="F53" s="101"/>
      <c r="G53" s="128"/>
      <c r="L53" s="1"/>
      <c r="M53" s="9"/>
    </row>
    <row r="54" spans="1:13">
      <c r="A54" s="219"/>
      <c r="B54" s="155"/>
      <c r="C54" s="64" t="s">
        <v>148</v>
      </c>
      <c r="D54" s="78" t="s">
        <v>2</v>
      </c>
      <c r="E54" s="92">
        <f>SUM(E50:E53)</f>
        <v>137.96799999999999</v>
      </c>
      <c r="F54" s="101"/>
      <c r="G54" s="126"/>
      <c r="L54" s="1"/>
      <c r="M54" s="9"/>
    </row>
    <row r="55" spans="1:13" ht="25.5">
      <c r="A55" s="219">
        <v>11</v>
      </c>
      <c r="B55" s="47">
        <v>138</v>
      </c>
      <c r="C55" s="55" t="s">
        <v>222</v>
      </c>
      <c r="D55" s="48"/>
      <c r="E55" s="86"/>
      <c r="F55" s="100"/>
      <c r="G55" s="126"/>
      <c r="L55" s="1"/>
      <c r="M55" s="9"/>
    </row>
    <row r="56" spans="1:13" ht="63.75">
      <c r="A56" s="219"/>
      <c r="B56" s="46"/>
      <c r="C56" s="49" t="s">
        <v>223</v>
      </c>
      <c r="D56" s="48"/>
      <c r="E56" s="92"/>
      <c r="F56" s="101"/>
      <c r="G56" s="128"/>
      <c r="L56" s="1"/>
      <c r="M56" s="9"/>
    </row>
    <row r="57" spans="1:13">
      <c r="A57" s="219"/>
      <c r="B57" s="46"/>
      <c r="C57" s="64" t="s">
        <v>200</v>
      </c>
      <c r="D57" s="198"/>
      <c r="E57" s="199"/>
      <c r="F57" s="101"/>
      <c r="G57" s="128"/>
      <c r="L57" s="1"/>
      <c r="M57" s="9"/>
    </row>
    <row r="58" spans="1:13">
      <c r="A58" s="219"/>
      <c r="B58" s="46"/>
      <c r="C58" s="187" t="str">
        <f>DisFor(E58)</f>
        <v>4 · 8+3.5 · 8</v>
      </c>
      <c r="D58" s="78" t="s">
        <v>2</v>
      </c>
      <c r="E58" s="92">
        <f>4*8+3.5*8</f>
        <v>60</v>
      </c>
      <c r="F58" s="101"/>
      <c r="G58" s="128"/>
      <c r="L58" s="1"/>
      <c r="M58" s="9"/>
    </row>
    <row r="59" spans="1:13" ht="15" customHeight="1">
      <c r="A59" s="219"/>
      <c r="B59" s="155"/>
      <c r="C59" s="66" t="s">
        <v>312</v>
      </c>
      <c r="D59" s="198"/>
      <c r="E59" s="199"/>
      <c r="F59" s="101"/>
      <c r="G59" s="128"/>
      <c r="L59" s="1"/>
      <c r="M59" s="9"/>
    </row>
    <row r="60" spans="1:13">
      <c r="A60" s="219"/>
      <c r="B60" s="155"/>
      <c r="C60" s="187" t="str">
        <f>DisFor(E60)</f>
        <v>(1.4 · 2+0.8 · 2) · 7.55 · 2+(1.21 · 2+4.18 · 0.8) · 2</v>
      </c>
      <c r="D60" s="78" t="s">
        <v>2</v>
      </c>
      <c r="E60" s="92">
        <f>(1.4*2+0.8*2)*7.55*2+(1.21*2+4.18*0.8)*2</f>
        <v>77.967999999999989</v>
      </c>
      <c r="F60" s="101"/>
      <c r="G60" s="128"/>
      <c r="L60" s="1"/>
      <c r="M60" s="9"/>
    </row>
    <row r="61" spans="1:13" ht="15.75" thickBot="1">
      <c r="A61" s="223"/>
      <c r="B61" s="215"/>
      <c r="C61" s="216" t="s">
        <v>148</v>
      </c>
      <c r="D61" s="217" t="s">
        <v>2</v>
      </c>
      <c r="E61" s="218">
        <f>SUM(E57:E60)</f>
        <v>137.96799999999999</v>
      </c>
      <c r="F61" s="202"/>
      <c r="G61" s="126"/>
      <c r="L61" s="1"/>
      <c r="M61" s="9"/>
    </row>
    <row r="62" spans="1:13" s="2" customFormat="1" ht="15.75" thickBot="1">
      <c r="A62" s="353"/>
      <c r="B62" s="364"/>
      <c r="C62" s="143"/>
      <c r="D62" s="146"/>
      <c r="E62" s="361"/>
      <c r="F62" s="360" t="s">
        <v>41</v>
      </c>
      <c r="G62" s="401"/>
      <c r="L62" s="1"/>
      <c r="M62" s="9"/>
    </row>
    <row r="63" spans="1:13" ht="15.75" thickBot="1">
      <c r="A63" s="115"/>
      <c r="B63" s="160"/>
      <c r="C63" s="116"/>
      <c r="D63" s="60"/>
      <c r="E63" s="167"/>
      <c r="F63" s="118"/>
      <c r="G63" s="118"/>
      <c r="L63" s="1"/>
      <c r="M63" s="9"/>
    </row>
    <row r="64" spans="1:13" s="2" customFormat="1" ht="15.75" thickBot="1">
      <c r="A64" s="353"/>
      <c r="B64" s="140" t="s">
        <v>95</v>
      </c>
      <c r="C64" s="382" t="s">
        <v>122</v>
      </c>
      <c r="D64" s="146"/>
      <c r="E64" s="146"/>
      <c r="F64" s="363"/>
      <c r="G64" s="322"/>
      <c r="L64" s="1"/>
      <c r="M64" s="9"/>
    </row>
    <row r="65" spans="1:13" s="2" customFormat="1" ht="15.75" thickBot="1">
      <c r="A65" s="384"/>
      <c r="B65" s="385"/>
      <c r="C65" s="386"/>
      <c r="D65" s="387"/>
      <c r="E65" s="388"/>
      <c r="F65" s="389" t="s">
        <v>129</v>
      </c>
      <c r="G65" s="390"/>
      <c r="H65" s="365"/>
      <c r="L65" s="1"/>
      <c r="M65" s="9"/>
    </row>
    <row r="66" spans="1:13" ht="15.75" thickBot="1">
      <c r="A66" s="115"/>
      <c r="B66" s="160"/>
      <c r="C66" s="116"/>
      <c r="D66" s="60"/>
      <c r="E66" s="167"/>
      <c r="F66" s="118"/>
      <c r="G66" s="118"/>
      <c r="H66" s="30"/>
      <c r="L66" s="1"/>
      <c r="M66" s="9"/>
    </row>
    <row r="67" spans="1:13" s="2" customFormat="1" ht="15.75" thickBot="1">
      <c r="A67" s="353"/>
      <c r="B67" s="140" t="s">
        <v>42</v>
      </c>
      <c r="C67" s="382" t="s">
        <v>43</v>
      </c>
      <c r="D67" s="146"/>
      <c r="E67" s="146"/>
      <c r="F67" s="363"/>
      <c r="G67" s="322"/>
      <c r="L67" s="3"/>
      <c r="M67" s="3"/>
    </row>
    <row r="68" spans="1:13" ht="25.5">
      <c r="A68" s="125">
        <v>12</v>
      </c>
      <c r="B68" s="47">
        <v>301</v>
      </c>
      <c r="C68" s="209" t="s">
        <v>193</v>
      </c>
      <c r="D68" s="57"/>
      <c r="E68" s="86"/>
      <c r="F68" s="100"/>
      <c r="G68" s="126"/>
      <c r="L68" s="4"/>
      <c r="M68" s="9"/>
    </row>
    <row r="69" spans="1:13" ht="127.5">
      <c r="A69" s="125"/>
      <c r="B69" s="53"/>
      <c r="C69" s="49" t="s">
        <v>194</v>
      </c>
      <c r="D69" s="57"/>
      <c r="E69" s="86"/>
      <c r="F69" s="100"/>
      <c r="G69" s="126"/>
      <c r="L69" s="4"/>
      <c r="M69" s="9"/>
    </row>
    <row r="70" spans="1:13">
      <c r="A70" s="125"/>
      <c r="B70" s="155"/>
      <c r="C70" s="187" t="str">
        <f>DisFor(E71)</f>
        <v>75.2 · 4.3</v>
      </c>
      <c r="D70" s="57"/>
      <c r="E70" s="86"/>
      <c r="F70" s="100"/>
      <c r="G70" s="126"/>
      <c r="L70" s="4"/>
      <c r="M70" s="9"/>
    </row>
    <row r="71" spans="1:13">
      <c r="A71" s="125"/>
      <c r="B71" s="155"/>
      <c r="C71" s="43" t="s">
        <v>314</v>
      </c>
      <c r="D71" s="57" t="s">
        <v>2</v>
      </c>
      <c r="E71" s="86">
        <f>75.2*4.3</f>
        <v>323.36</v>
      </c>
      <c r="F71" s="100"/>
      <c r="G71" s="126"/>
      <c r="L71" s="4"/>
      <c r="M71" s="9"/>
    </row>
    <row r="72" spans="1:13" ht="25.5">
      <c r="A72" s="125">
        <v>13</v>
      </c>
      <c r="B72" s="47">
        <v>302</v>
      </c>
      <c r="C72" s="210" t="s">
        <v>331</v>
      </c>
      <c r="D72" s="57"/>
      <c r="E72" s="86"/>
      <c r="F72" s="100"/>
      <c r="G72" s="126"/>
      <c r="L72" s="4"/>
      <c r="M72" s="9"/>
    </row>
    <row r="73" spans="1:13" ht="76.5">
      <c r="A73" s="125"/>
      <c r="B73" s="53"/>
      <c r="C73" s="49" t="s">
        <v>195</v>
      </c>
      <c r="D73" s="57"/>
      <c r="E73" s="86"/>
      <c r="F73" s="100"/>
      <c r="G73" s="126"/>
      <c r="L73" s="4"/>
      <c r="M73" s="9"/>
    </row>
    <row r="74" spans="1:13">
      <c r="A74" s="125"/>
      <c r="B74" s="155"/>
      <c r="C74" s="187" t="str">
        <f>DisFor(E75)</f>
        <v>4.3 · 6+4.3 · 5+(0.8+1.4) · 7.55 · 2 · 2</v>
      </c>
      <c r="D74" s="57"/>
      <c r="E74" s="86"/>
      <c r="F74" s="100"/>
      <c r="G74" s="126"/>
      <c r="L74" s="4"/>
      <c r="M74" s="9"/>
    </row>
    <row r="75" spans="1:13">
      <c r="A75" s="125"/>
      <c r="B75" s="155"/>
      <c r="C75" s="43" t="s">
        <v>314</v>
      </c>
      <c r="D75" s="57" t="s">
        <v>2</v>
      </c>
      <c r="E75" s="211">
        <f>4.3*6+4.3*5+(0.8+1.4)*7.55*2*2</f>
        <v>113.74</v>
      </c>
      <c r="F75" s="100"/>
      <c r="G75" s="126"/>
      <c r="L75" s="4"/>
      <c r="M75" s="9"/>
    </row>
    <row r="76" spans="1:13" ht="38.25">
      <c r="A76" s="125">
        <v>14</v>
      </c>
      <c r="B76" s="47">
        <v>303</v>
      </c>
      <c r="C76" s="212" t="s">
        <v>301</v>
      </c>
      <c r="D76" s="57"/>
      <c r="E76" s="86"/>
      <c r="F76" s="100"/>
      <c r="G76" s="126"/>
      <c r="L76" s="4"/>
      <c r="M76" s="9"/>
    </row>
    <row r="77" spans="1:13" ht="178.5">
      <c r="A77" s="125"/>
      <c r="B77" s="53"/>
      <c r="C77" s="49" t="s">
        <v>332</v>
      </c>
      <c r="D77" s="57"/>
      <c r="E77" s="86"/>
      <c r="F77" s="100"/>
      <c r="G77" s="126"/>
      <c r="L77" s="4"/>
      <c r="M77" s="9"/>
    </row>
    <row r="78" spans="1:13">
      <c r="A78" s="125"/>
      <c r="B78" s="155"/>
      <c r="C78" s="54" t="s">
        <v>302</v>
      </c>
      <c r="D78" s="57"/>
      <c r="E78" s="86"/>
      <c r="F78" s="100"/>
      <c r="G78" s="126"/>
      <c r="L78" s="4"/>
      <c r="M78" s="9"/>
    </row>
    <row r="79" spans="1:13" ht="15.75" thickBot="1">
      <c r="A79" s="132"/>
      <c r="B79" s="215"/>
      <c r="C79" s="145" t="s">
        <v>333</v>
      </c>
      <c r="D79" s="111" t="s">
        <v>4</v>
      </c>
      <c r="E79" s="134">
        <v>4</v>
      </c>
      <c r="F79" s="135"/>
      <c r="G79" s="136"/>
      <c r="L79" s="4"/>
      <c r="M79" s="9"/>
    </row>
    <row r="80" spans="1:13" s="2" customFormat="1" ht="15.75" thickBot="1">
      <c r="A80" s="139"/>
      <c r="B80" s="151"/>
      <c r="C80" s="228"/>
      <c r="D80" s="141"/>
      <c r="E80" s="175"/>
      <c r="F80" s="144" t="s">
        <v>162</v>
      </c>
      <c r="G80" s="142"/>
    </row>
    <row r="81" spans="1:13" s="2" customFormat="1" ht="15.75" thickBot="1">
      <c r="A81" s="115"/>
      <c r="B81" s="98"/>
      <c r="C81" s="192"/>
      <c r="D81" s="60"/>
      <c r="E81" s="115"/>
      <c r="F81" s="118"/>
      <c r="G81" s="118"/>
    </row>
    <row r="82" spans="1:13" ht="15.75" thickBot="1">
      <c r="A82" s="139"/>
      <c r="B82" s="157" t="s">
        <v>44</v>
      </c>
      <c r="C82" s="224" t="s">
        <v>45</v>
      </c>
      <c r="D82" s="141"/>
      <c r="E82" s="141"/>
      <c r="F82" s="151"/>
      <c r="G82" s="152"/>
      <c r="L82" s="3"/>
      <c r="M82" s="3"/>
    </row>
    <row r="83" spans="1:13" s="2" customFormat="1">
      <c r="A83" s="176"/>
      <c r="B83" s="225" t="s">
        <v>46</v>
      </c>
      <c r="C83" s="226" t="s">
        <v>47</v>
      </c>
      <c r="D83" s="227"/>
      <c r="E83" s="227"/>
      <c r="F83" s="177"/>
      <c r="G83" s="240"/>
      <c r="L83" s="3"/>
      <c r="M83" s="3"/>
    </row>
    <row r="84" spans="1:13" s="2" customFormat="1">
      <c r="A84" s="238"/>
      <c r="B84" s="231" t="s">
        <v>50</v>
      </c>
      <c r="C84" s="241" t="s">
        <v>51</v>
      </c>
      <c r="D84" s="426"/>
      <c r="E84" s="426"/>
      <c r="F84" s="426"/>
      <c r="G84" s="427"/>
      <c r="L84" s="3"/>
      <c r="M84" s="3"/>
    </row>
    <row r="85" spans="1:13" s="2" customFormat="1" ht="25.5">
      <c r="A85" s="147">
        <v>15</v>
      </c>
      <c r="B85" s="38">
        <v>553</v>
      </c>
      <c r="C85" s="39" t="s">
        <v>158</v>
      </c>
      <c r="D85" s="90"/>
      <c r="E85" s="90"/>
      <c r="F85" s="150"/>
      <c r="G85" s="170"/>
      <c r="L85" s="3"/>
      <c r="M85" s="3"/>
    </row>
    <row r="86" spans="1:13" s="2" customFormat="1" ht="38.25">
      <c r="A86" s="125"/>
      <c r="B86" s="53" t="s">
        <v>159</v>
      </c>
      <c r="C86" s="54" t="s">
        <v>288</v>
      </c>
      <c r="D86" s="57"/>
      <c r="E86" s="57"/>
      <c r="F86" s="53"/>
      <c r="G86" s="171"/>
      <c r="L86" s="3"/>
      <c r="M86" s="3"/>
    </row>
    <row r="87" spans="1:13" s="2" customFormat="1">
      <c r="A87" s="125"/>
      <c r="B87" s="53"/>
      <c r="C87" s="54" t="str">
        <f>DisFor(E87)</f>
        <v>76.2 · 0.486</v>
      </c>
      <c r="D87" s="85" t="s">
        <v>0</v>
      </c>
      <c r="E87" s="86">
        <f>76.2*0.486</f>
        <v>37.033200000000001</v>
      </c>
      <c r="F87" s="100"/>
      <c r="G87" s="126"/>
      <c r="L87" s="3"/>
      <c r="M87" s="3"/>
    </row>
    <row r="88" spans="1:13" s="2" customFormat="1">
      <c r="A88" s="125"/>
      <c r="B88" s="53"/>
      <c r="C88" s="193" t="s">
        <v>49</v>
      </c>
      <c r="D88" s="85"/>
      <c r="E88" s="86"/>
      <c r="F88" s="100"/>
      <c r="G88" s="126"/>
      <c r="L88" s="3"/>
      <c r="M88" s="3"/>
    </row>
    <row r="89" spans="1:13" s="2" customFormat="1" ht="25.5">
      <c r="A89" s="125">
        <v>16</v>
      </c>
      <c r="B89" s="47">
        <v>554</v>
      </c>
      <c r="C89" s="52" t="s">
        <v>52</v>
      </c>
      <c r="D89" s="57"/>
      <c r="E89" s="57"/>
      <c r="F89" s="53"/>
      <c r="G89" s="171"/>
      <c r="L89" s="3"/>
      <c r="M89" s="3"/>
    </row>
    <row r="90" spans="1:13" s="2" customFormat="1" ht="38.25">
      <c r="A90" s="125"/>
      <c r="B90" s="47"/>
      <c r="C90" s="188" t="s">
        <v>181</v>
      </c>
      <c r="D90" s="57"/>
      <c r="E90" s="57"/>
      <c r="F90" s="53"/>
      <c r="G90" s="171"/>
      <c r="L90" s="3"/>
      <c r="M90" s="3"/>
    </row>
    <row r="91" spans="1:13" s="2" customFormat="1">
      <c r="A91" s="125"/>
      <c r="B91" s="47"/>
      <c r="C91" s="54" t="str">
        <f>DisFor(E91)</f>
        <v>85.6 · 2 · 0.035</v>
      </c>
      <c r="D91" s="85" t="s">
        <v>0</v>
      </c>
      <c r="E91" s="86">
        <f>85.6*2*0.035</f>
        <v>5.992</v>
      </c>
      <c r="F91" s="100"/>
      <c r="G91" s="126"/>
      <c r="L91" s="3"/>
      <c r="M91" s="3"/>
    </row>
    <row r="92" spans="1:13" s="2" customFormat="1" ht="15.75" thickBot="1">
      <c r="A92" s="132"/>
      <c r="B92" s="168"/>
      <c r="C92" s="229" t="s">
        <v>49</v>
      </c>
      <c r="D92" s="169"/>
      <c r="E92" s="134"/>
      <c r="F92" s="135"/>
      <c r="G92" s="136"/>
      <c r="L92" s="3"/>
      <c r="M92" s="3"/>
    </row>
    <row r="93" spans="1:13" s="2" customFormat="1" ht="15.75" thickBot="1">
      <c r="A93" s="353"/>
      <c r="B93" s="356"/>
      <c r="C93" s="391"/>
      <c r="D93" s="361"/>
      <c r="E93" s="361"/>
      <c r="F93" s="360" t="s">
        <v>53</v>
      </c>
      <c r="G93" s="322"/>
    </row>
    <row r="94" spans="1:13" ht="15.75" thickBot="1">
      <c r="A94" s="115"/>
      <c r="B94" s="98"/>
      <c r="C94" s="192"/>
      <c r="D94" s="167"/>
      <c r="E94" s="167"/>
      <c r="F94" s="118"/>
      <c r="G94" s="118"/>
    </row>
    <row r="95" spans="1:13" s="2" customFormat="1" ht="15.75" thickBot="1">
      <c r="A95" s="353"/>
      <c r="B95" s="140" t="s">
        <v>54</v>
      </c>
      <c r="C95" s="382" t="s">
        <v>55</v>
      </c>
      <c r="D95" s="146"/>
      <c r="E95" s="146"/>
      <c r="F95" s="356"/>
      <c r="G95" s="357"/>
      <c r="L95" s="3"/>
      <c r="M95" s="3"/>
    </row>
    <row r="96" spans="1:13" ht="25.5">
      <c r="A96" s="147">
        <v>17</v>
      </c>
      <c r="B96" s="38">
        <v>601</v>
      </c>
      <c r="C96" s="39" t="s">
        <v>56</v>
      </c>
      <c r="D96" s="90"/>
      <c r="E96" s="90"/>
      <c r="F96" s="150"/>
      <c r="G96" s="170"/>
      <c r="L96" s="4"/>
      <c r="M96" s="9"/>
    </row>
    <row r="97" spans="1:20">
      <c r="A97" s="125"/>
      <c r="B97" s="53"/>
      <c r="C97" s="193" t="s">
        <v>57</v>
      </c>
      <c r="D97" s="57" t="s">
        <v>5</v>
      </c>
      <c r="E97" s="213">
        <v>11143</v>
      </c>
      <c r="F97" s="100"/>
      <c r="G97" s="126"/>
    </row>
    <row r="98" spans="1:20">
      <c r="A98" s="125">
        <v>18</v>
      </c>
      <c r="B98" s="47">
        <v>602</v>
      </c>
      <c r="C98" s="206" t="s">
        <v>58</v>
      </c>
      <c r="D98" s="57"/>
      <c r="E98" s="213"/>
      <c r="F98" s="100"/>
      <c r="G98" s="126"/>
    </row>
    <row r="99" spans="1:20" ht="25.5">
      <c r="A99" s="125"/>
      <c r="B99" s="47"/>
      <c r="C99" s="54" t="s">
        <v>320</v>
      </c>
      <c r="D99" s="57" t="s">
        <v>4</v>
      </c>
      <c r="E99" s="213">
        <v>8</v>
      </c>
      <c r="F99" s="100"/>
      <c r="G99" s="126"/>
    </row>
    <row r="100" spans="1:20" ht="51">
      <c r="A100" s="125"/>
      <c r="B100" s="47"/>
      <c r="C100" s="54" t="s">
        <v>322</v>
      </c>
      <c r="D100" s="57" t="s">
        <v>4</v>
      </c>
      <c r="E100" s="86">
        <v>8</v>
      </c>
      <c r="F100" s="100"/>
      <c r="G100" s="126"/>
    </row>
    <row r="101" spans="1:20" ht="25.5">
      <c r="A101" s="125"/>
      <c r="B101" s="47"/>
      <c r="C101" s="54" t="s">
        <v>321</v>
      </c>
      <c r="D101" s="57"/>
      <c r="E101" s="86"/>
      <c r="F101" s="100"/>
      <c r="G101" s="126"/>
      <c r="H101" s="33"/>
    </row>
    <row r="102" spans="1:20" ht="25.5">
      <c r="A102" s="125">
        <v>19</v>
      </c>
      <c r="B102" s="47">
        <v>630</v>
      </c>
      <c r="C102" s="52" t="s">
        <v>188</v>
      </c>
      <c r="D102" s="57"/>
      <c r="E102" s="86"/>
      <c r="F102" s="100"/>
      <c r="G102" s="126"/>
      <c r="H102" s="33"/>
    </row>
    <row r="103" spans="1:20">
      <c r="A103" s="125"/>
      <c r="B103" s="47"/>
      <c r="C103" s="54" t="s">
        <v>190</v>
      </c>
      <c r="D103" s="57"/>
      <c r="E103" s="86"/>
      <c r="F103" s="100"/>
      <c r="G103" s="126"/>
      <c r="H103" s="33"/>
    </row>
    <row r="104" spans="1:20">
      <c r="A104" s="125"/>
      <c r="B104" s="47"/>
      <c r="C104" s="54" t="s">
        <v>189</v>
      </c>
      <c r="D104" s="57" t="s">
        <v>4</v>
      </c>
      <c r="E104" s="86">
        <v>1010</v>
      </c>
      <c r="F104" s="100"/>
      <c r="G104" s="126"/>
      <c r="H104" s="33"/>
    </row>
    <row r="105" spans="1:20" ht="25.5">
      <c r="A105" s="125">
        <v>20</v>
      </c>
      <c r="B105" s="47">
        <v>640</v>
      </c>
      <c r="C105" s="52" t="s">
        <v>191</v>
      </c>
      <c r="D105" s="57"/>
      <c r="E105" s="86"/>
      <c r="F105" s="100"/>
      <c r="G105" s="126"/>
      <c r="H105" s="33"/>
    </row>
    <row r="106" spans="1:20">
      <c r="A106" s="125"/>
      <c r="B106" s="47"/>
      <c r="C106" s="193" t="s">
        <v>192</v>
      </c>
      <c r="D106" s="57" t="s">
        <v>5</v>
      </c>
      <c r="E106" s="213">
        <v>5000</v>
      </c>
      <c r="F106" s="100"/>
      <c r="G106" s="126"/>
      <c r="H106" s="33"/>
    </row>
    <row r="107" spans="1:20">
      <c r="A107" s="125">
        <v>21</v>
      </c>
      <c r="B107" s="47">
        <v>660</v>
      </c>
      <c r="C107" s="52" t="s">
        <v>59</v>
      </c>
      <c r="D107" s="57"/>
      <c r="E107" s="57"/>
      <c r="F107" s="53"/>
      <c r="G107" s="171"/>
      <c r="M107" s="416"/>
      <c r="N107" s="417"/>
      <c r="O107" s="417"/>
      <c r="P107" s="417"/>
      <c r="Q107" s="417"/>
      <c r="R107" s="417"/>
      <c r="S107" s="417"/>
      <c r="T107" s="417"/>
    </row>
    <row r="108" spans="1:20" ht="25.5">
      <c r="A108" s="125"/>
      <c r="B108" s="47"/>
      <c r="C108" s="54" t="s">
        <v>182</v>
      </c>
      <c r="D108" s="57"/>
      <c r="E108" s="57"/>
      <c r="F108" s="53"/>
      <c r="G108" s="171"/>
      <c r="M108" s="14"/>
      <c r="N108" s="15"/>
      <c r="O108" s="15"/>
      <c r="P108" s="15"/>
      <c r="Q108" s="15"/>
      <c r="R108" s="15"/>
      <c r="S108" s="15"/>
      <c r="T108" s="15"/>
    </row>
    <row r="109" spans="1:20">
      <c r="A109" s="125"/>
      <c r="B109" s="154"/>
      <c r="C109" s="54" t="s">
        <v>61</v>
      </c>
      <c r="D109" s="57" t="s">
        <v>4</v>
      </c>
      <c r="E109" s="86">
        <v>2</v>
      </c>
      <c r="F109" s="100"/>
      <c r="G109" s="126"/>
      <c r="M109" s="14"/>
      <c r="N109" s="15"/>
      <c r="O109" s="15"/>
      <c r="P109" s="15"/>
      <c r="Q109" s="15"/>
      <c r="R109" s="15"/>
      <c r="S109" s="15"/>
      <c r="T109" s="15"/>
    </row>
    <row r="110" spans="1:20" ht="25.5">
      <c r="A110" s="125">
        <v>22</v>
      </c>
      <c r="B110" s="47">
        <v>670</v>
      </c>
      <c r="C110" s="52" t="s">
        <v>62</v>
      </c>
      <c r="D110" s="85"/>
      <c r="E110" s="57"/>
      <c r="F110" s="53"/>
      <c r="G110" s="171"/>
    </row>
    <row r="111" spans="1:20">
      <c r="A111" s="125"/>
      <c r="B111" s="53" t="s">
        <v>63</v>
      </c>
      <c r="C111" s="193" t="s">
        <v>64</v>
      </c>
      <c r="D111" s="85"/>
      <c r="E111" s="425" t="s">
        <v>295</v>
      </c>
      <c r="F111" s="425"/>
      <c r="G111" s="171"/>
    </row>
    <row r="112" spans="1:20" ht="38.25" customHeight="1">
      <c r="A112" s="125"/>
      <c r="B112" s="53" t="s">
        <v>109</v>
      </c>
      <c r="C112" s="193" t="s">
        <v>110</v>
      </c>
      <c r="D112" s="57" t="s">
        <v>3</v>
      </c>
      <c r="E112" s="86">
        <v>12.5</v>
      </c>
      <c r="F112" s="100"/>
      <c r="G112" s="126"/>
    </row>
    <row r="113" spans="1:26">
      <c r="A113" s="125">
        <v>23</v>
      </c>
      <c r="B113" s="46">
        <v>672</v>
      </c>
      <c r="C113" s="52" t="s">
        <v>65</v>
      </c>
      <c r="D113" s="85"/>
      <c r="E113" s="57"/>
      <c r="F113" s="103"/>
      <c r="G113" s="173"/>
    </row>
    <row r="114" spans="1:26" ht="38.25">
      <c r="A114" s="125"/>
      <c r="B114" s="46"/>
      <c r="C114" s="54" t="s">
        <v>143</v>
      </c>
      <c r="D114" s="85"/>
      <c r="E114" s="57"/>
      <c r="F114" s="103"/>
      <c r="G114" s="173"/>
    </row>
    <row r="115" spans="1:26" ht="15.75" thickBot="1">
      <c r="A115" s="132"/>
      <c r="B115" s="156"/>
      <c r="C115" s="110" t="s">
        <v>66</v>
      </c>
      <c r="D115" s="169" t="s">
        <v>4</v>
      </c>
      <c r="E115" s="134">
        <f>2*43</f>
        <v>86</v>
      </c>
      <c r="F115" s="172"/>
      <c r="G115" s="174"/>
    </row>
    <row r="116" spans="1:26" s="2" customFormat="1" ht="15.75" thickBot="1">
      <c r="A116" s="353"/>
      <c r="B116" s="356"/>
      <c r="C116" s="391"/>
      <c r="D116" s="361"/>
      <c r="E116" s="361"/>
      <c r="F116" s="360" t="s">
        <v>67</v>
      </c>
      <c r="G116" s="322"/>
    </row>
    <row r="117" spans="1:26" ht="15.75" thickBot="1">
      <c r="A117" s="115"/>
      <c r="B117" s="98"/>
      <c r="C117" s="192"/>
      <c r="D117" s="167"/>
      <c r="E117" s="167"/>
      <c r="F117" s="118"/>
      <c r="G117" s="118"/>
    </row>
    <row r="118" spans="1:26" s="2" customFormat="1" ht="15.75" thickBot="1">
      <c r="A118" s="353"/>
      <c r="B118" s="140" t="s">
        <v>68</v>
      </c>
      <c r="C118" s="382" t="s">
        <v>69</v>
      </c>
      <c r="D118" s="146"/>
      <c r="E118" s="146"/>
      <c r="F118" s="356"/>
      <c r="G118" s="357"/>
    </row>
    <row r="119" spans="1:26" ht="38.25">
      <c r="A119" s="147">
        <v>24</v>
      </c>
      <c r="B119" s="185">
        <v>725</v>
      </c>
      <c r="C119" s="39" t="s">
        <v>185</v>
      </c>
      <c r="D119" s="90"/>
      <c r="E119" s="91"/>
      <c r="F119" s="99"/>
      <c r="G119" s="148"/>
    </row>
    <row r="120" spans="1:26" s="16" customFormat="1">
      <c r="A120" s="125"/>
      <c r="B120" s="53"/>
      <c r="C120" s="54" t="s">
        <v>186</v>
      </c>
      <c r="D120" s="57"/>
      <c r="E120" s="86"/>
      <c r="F120" s="53"/>
      <c r="G120" s="126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s="16" customFormat="1">
      <c r="A121" s="125"/>
      <c r="B121" s="53"/>
      <c r="C121" s="54" t="str">
        <f>DisFor(E121)</f>
        <v>76.2 · 4.05</v>
      </c>
      <c r="D121" s="57" t="s">
        <v>2</v>
      </c>
      <c r="E121" s="86">
        <f>76.2*4.05</f>
        <v>308.61</v>
      </c>
      <c r="F121" s="100"/>
      <c r="G121" s="126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ht="25.5">
      <c r="A122" s="125">
        <v>25</v>
      </c>
      <c r="B122" s="158">
        <v>730</v>
      </c>
      <c r="C122" s="52" t="s">
        <v>348</v>
      </c>
      <c r="D122" s="57"/>
      <c r="E122" s="86"/>
      <c r="F122" s="100"/>
      <c r="G122" s="126"/>
    </row>
    <row r="123" spans="1:26">
      <c r="A123" s="125"/>
      <c r="B123" s="47"/>
      <c r="C123" s="54" t="s">
        <v>349</v>
      </c>
      <c r="D123" s="57"/>
      <c r="E123" s="86"/>
      <c r="F123" s="100"/>
      <c r="G123" s="126"/>
    </row>
    <row r="124" spans="1:26">
      <c r="A124" s="125"/>
      <c r="B124" s="53"/>
      <c r="C124" s="54" t="str">
        <f>DisFor(E125)</f>
        <v>76.2 · 3.75</v>
      </c>
      <c r="D124" s="57"/>
      <c r="E124" s="86"/>
      <c r="F124" s="100"/>
      <c r="G124" s="126"/>
    </row>
    <row r="125" spans="1:26">
      <c r="A125" s="125"/>
      <c r="B125" s="53"/>
      <c r="C125" s="193" t="s">
        <v>71</v>
      </c>
      <c r="D125" s="57" t="s">
        <v>2</v>
      </c>
      <c r="E125" s="86">
        <f>76.2*3.75</f>
        <v>285.75</v>
      </c>
      <c r="F125" s="100"/>
      <c r="G125" s="126"/>
    </row>
    <row r="126" spans="1:26">
      <c r="A126" s="125">
        <v>26</v>
      </c>
      <c r="B126" s="47">
        <v>740</v>
      </c>
      <c r="C126" s="52" t="s">
        <v>72</v>
      </c>
      <c r="D126" s="57"/>
      <c r="E126" s="86"/>
      <c r="F126" s="100"/>
      <c r="G126" s="126"/>
    </row>
    <row r="127" spans="1:26" ht="25.5">
      <c r="A127" s="125"/>
      <c r="B127" s="53"/>
      <c r="C127" s="54" t="s">
        <v>298</v>
      </c>
      <c r="D127" s="57" t="s">
        <v>2</v>
      </c>
      <c r="E127" s="86"/>
      <c r="F127" s="100"/>
      <c r="G127" s="126"/>
      <c r="H127" s="34"/>
    </row>
    <row r="128" spans="1:26">
      <c r="A128" s="125"/>
      <c r="B128" s="53"/>
      <c r="C128" s="193" t="s">
        <v>71</v>
      </c>
      <c r="D128" s="57" t="s">
        <v>2</v>
      </c>
      <c r="E128" s="86">
        <v>615</v>
      </c>
      <c r="F128" s="100"/>
      <c r="G128" s="126"/>
      <c r="H128" s="34"/>
    </row>
    <row r="129" spans="1:20" ht="38.25">
      <c r="A129" s="125">
        <v>27</v>
      </c>
      <c r="B129" s="47">
        <v>780</v>
      </c>
      <c r="C129" s="52" t="s">
        <v>78</v>
      </c>
      <c r="D129" s="85"/>
      <c r="E129" s="86"/>
      <c r="F129" s="100"/>
      <c r="G129" s="126"/>
    </row>
    <row r="130" spans="1:20">
      <c r="A130" s="125"/>
      <c r="B130" s="47"/>
      <c r="C130" s="54" t="s">
        <v>157</v>
      </c>
      <c r="D130" s="57"/>
      <c r="E130" s="57"/>
      <c r="F130" s="53"/>
      <c r="G130" s="126"/>
      <c r="H130" s="35"/>
      <c r="L130" s="3"/>
      <c r="M130" s="18"/>
      <c r="N130" s="15"/>
      <c r="O130" s="15"/>
      <c r="P130" s="15"/>
      <c r="Q130" s="15"/>
      <c r="R130" s="15"/>
      <c r="S130" s="15"/>
      <c r="T130" s="15"/>
    </row>
    <row r="131" spans="1:20">
      <c r="A131" s="125"/>
      <c r="B131" s="47"/>
      <c r="C131" s="54" t="s">
        <v>183</v>
      </c>
      <c r="D131" s="57" t="s">
        <v>3</v>
      </c>
      <c r="E131" s="86">
        <f>2*4.3</f>
        <v>8.6</v>
      </c>
      <c r="F131" s="100"/>
      <c r="G131" s="126"/>
      <c r="H131" s="36"/>
      <c r="L131" s="3"/>
      <c r="M131" s="18"/>
      <c r="N131" s="15"/>
      <c r="O131" s="15"/>
      <c r="P131" s="15"/>
      <c r="Q131" s="15"/>
      <c r="R131" s="15"/>
      <c r="S131" s="15"/>
      <c r="T131" s="15"/>
    </row>
    <row r="132" spans="1:20" ht="25.5">
      <c r="A132" s="125">
        <v>28</v>
      </c>
      <c r="B132" s="47">
        <v>785</v>
      </c>
      <c r="C132" s="52" t="s">
        <v>290</v>
      </c>
      <c r="D132" s="57"/>
      <c r="E132" s="57"/>
      <c r="F132" s="53"/>
      <c r="G132" s="171"/>
      <c r="H132" s="36"/>
      <c r="L132" s="3"/>
      <c r="M132" s="18"/>
      <c r="N132" s="15"/>
      <c r="O132" s="15"/>
      <c r="P132" s="15"/>
      <c r="Q132" s="15"/>
      <c r="R132" s="15"/>
      <c r="S132" s="15"/>
      <c r="T132" s="15"/>
    </row>
    <row r="133" spans="1:20">
      <c r="A133" s="125"/>
      <c r="B133" s="53"/>
      <c r="C133" s="54" t="s">
        <v>289</v>
      </c>
      <c r="D133" s="57"/>
      <c r="E133" s="57"/>
      <c r="F133" s="53"/>
      <c r="G133" s="171"/>
      <c r="H133" s="36"/>
      <c r="L133" s="3"/>
      <c r="M133" s="18"/>
      <c r="N133" s="15"/>
      <c r="O133" s="15"/>
      <c r="P133" s="15"/>
      <c r="Q133" s="15"/>
      <c r="R133" s="15"/>
      <c r="S133" s="15"/>
      <c r="T133" s="15"/>
    </row>
    <row r="134" spans="1:20" ht="15.75" thickBot="1">
      <c r="A134" s="132"/>
      <c r="B134" s="156" t="s">
        <v>25</v>
      </c>
      <c r="C134" s="229" t="s">
        <v>49</v>
      </c>
      <c r="D134" s="169" t="s">
        <v>0</v>
      </c>
      <c r="E134" s="134">
        <f>0.1*4.3</f>
        <v>0.43</v>
      </c>
      <c r="F134" s="135"/>
      <c r="G134" s="136"/>
      <c r="H134" s="36"/>
      <c r="L134" s="3"/>
      <c r="M134" s="18"/>
      <c r="N134" s="15"/>
      <c r="O134" s="15"/>
      <c r="P134" s="15"/>
      <c r="Q134" s="15"/>
      <c r="R134" s="15"/>
      <c r="S134" s="15"/>
      <c r="T134" s="15"/>
    </row>
    <row r="135" spans="1:20" s="2" customFormat="1" ht="15.75" thickBot="1">
      <c r="A135" s="353"/>
      <c r="B135" s="356"/>
      <c r="C135" s="391"/>
      <c r="D135" s="359"/>
      <c r="E135" s="146"/>
      <c r="F135" s="360" t="s">
        <v>79</v>
      </c>
      <c r="G135" s="322"/>
    </row>
    <row r="136" spans="1:20" ht="15.75" thickBot="1">
      <c r="A136" s="115"/>
      <c r="B136" s="98"/>
      <c r="C136" s="192"/>
      <c r="D136" s="115"/>
      <c r="E136" s="60"/>
      <c r="F136" s="118"/>
      <c r="G136" s="118"/>
    </row>
    <row r="137" spans="1:20" s="2" customFormat="1" ht="15.75" thickBot="1">
      <c r="A137" s="353"/>
      <c r="B137" s="140" t="s">
        <v>80</v>
      </c>
      <c r="C137" s="382" t="s">
        <v>81</v>
      </c>
      <c r="D137" s="146"/>
      <c r="E137" s="146"/>
      <c r="F137" s="356"/>
      <c r="G137" s="357"/>
    </row>
    <row r="138" spans="1:20" ht="25.5">
      <c r="A138" s="147">
        <v>29</v>
      </c>
      <c r="B138" s="38">
        <v>801</v>
      </c>
      <c r="C138" s="39" t="s">
        <v>334</v>
      </c>
      <c r="D138" s="90"/>
      <c r="E138" s="91"/>
      <c r="F138" s="150"/>
      <c r="G138" s="170"/>
      <c r="H138" s="422"/>
      <c r="I138" s="422"/>
    </row>
    <row r="139" spans="1:20" ht="38.25">
      <c r="A139" s="125"/>
      <c r="B139" s="155"/>
      <c r="C139" s="54" t="s">
        <v>335</v>
      </c>
      <c r="D139" s="85"/>
      <c r="E139" s="88"/>
      <c r="F139" s="105"/>
      <c r="G139" s="171"/>
      <c r="H139" s="422"/>
      <c r="I139" s="422"/>
      <c r="J139" s="50"/>
      <c r="K139" s="50"/>
    </row>
    <row r="140" spans="1:20" ht="25.5">
      <c r="A140" s="125"/>
      <c r="B140" s="53"/>
      <c r="C140" s="54" t="s">
        <v>324</v>
      </c>
      <c r="D140" s="85" t="s">
        <v>4</v>
      </c>
      <c r="E140" s="86">
        <v>24</v>
      </c>
      <c r="F140" s="100"/>
      <c r="G140" s="126"/>
    </row>
    <row r="141" spans="1:20" ht="38.25">
      <c r="A141" s="125">
        <v>30</v>
      </c>
      <c r="B141" s="47">
        <v>850</v>
      </c>
      <c r="C141" s="214" t="s">
        <v>232</v>
      </c>
      <c r="D141" s="57"/>
      <c r="E141" s="86"/>
      <c r="F141" s="100"/>
      <c r="G141" s="126"/>
    </row>
    <row r="142" spans="1:20" ht="153">
      <c r="A142" s="125"/>
      <c r="B142" s="47"/>
      <c r="C142" s="49" t="s">
        <v>354</v>
      </c>
      <c r="D142" s="57"/>
      <c r="E142" s="86"/>
      <c r="F142" s="100"/>
      <c r="G142" s="126"/>
    </row>
    <row r="143" spans="1:20">
      <c r="A143" s="125"/>
      <c r="B143" s="47"/>
      <c r="C143" s="54" t="str">
        <f>DisFor(E144)</f>
        <v>1+0.5+0.5+0.5+0.5+1</v>
      </c>
      <c r="D143" s="57"/>
      <c r="E143" s="86"/>
      <c r="F143" s="100"/>
      <c r="G143" s="126"/>
    </row>
    <row r="144" spans="1:20">
      <c r="A144" s="127"/>
      <c r="B144" s="53"/>
      <c r="C144" s="193" t="s">
        <v>233</v>
      </c>
      <c r="D144" s="57" t="s">
        <v>2</v>
      </c>
      <c r="E144" s="86">
        <f>1+0.5+0.5+0.5+0.5+1</f>
        <v>4</v>
      </c>
      <c r="F144" s="100"/>
      <c r="G144" s="126"/>
    </row>
    <row r="145" spans="1:7" ht="25.5">
      <c r="A145" s="125">
        <v>31</v>
      </c>
      <c r="B145" s="47">
        <v>854</v>
      </c>
      <c r="C145" s="214" t="s">
        <v>241</v>
      </c>
      <c r="D145" s="57"/>
      <c r="E145" s="86"/>
      <c r="F145" s="100"/>
      <c r="G145" s="126"/>
    </row>
    <row r="146" spans="1:7" ht="103.5">
      <c r="A146" s="125"/>
      <c r="B146" s="47"/>
      <c r="C146" s="49" t="s">
        <v>315</v>
      </c>
      <c r="D146" s="57"/>
      <c r="E146" s="86"/>
      <c r="F146" s="100"/>
      <c r="G146" s="126"/>
    </row>
    <row r="147" spans="1:7">
      <c r="A147" s="125"/>
      <c r="B147" s="47"/>
      <c r="C147" s="49" t="s">
        <v>201</v>
      </c>
      <c r="D147" s="57"/>
      <c r="E147" s="86"/>
      <c r="F147" s="100"/>
      <c r="G147" s="126"/>
    </row>
    <row r="148" spans="1:7">
      <c r="A148" s="125"/>
      <c r="B148" s="47"/>
      <c r="C148" s="54" t="str">
        <f>DisFor(E149)</f>
        <v>(1.4 · 2+0.8 · 2) · 7.55 · 2+(0.6 · 0.3+0.6 · 1) · 2 · 2</v>
      </c>
      <c r="D148" s="57"/>
      <c r="E148" s="86"/>
      <c r="F148" s="100"/>
      <c r="G148" s="126"/>
    </row>
    <row r="149" spans="1:7">
      <c r="A149" s="127"/>
      <c r="B149" s="53"/>
      <c r="C149" s="193" t="s">
        <v>236</v>
      </c>
      <c r="D149" s="57" t="s">
        <v>2</v>
      </c>
      <c r="E149" s="86">
        <f>(1.4*2+0.8*2)*7.55*2+(0.6*0.3+0.6*1)*2*2</f>
        <v>69.56</v>
      </c>
      <c r="F149" s="100"/>
      <c r="G149" s="126"/>
    </row>
    <row r="150" spans="1:7">
      <c r="A150" s="125">
        <v>32</v>
      </c>
      <c r="B150" s="47">
        <v>855</v>
      </c>
      <c r="C150" s="214" t="s">
        <v>242</v>
      </c>
      <c r="D150" s="57"/>
      <c r="E150" s="86"/>
      <c r="F150" s="100"/>
      <c r="G150" s="126"/>
    </row>
    <row r="151" spans="1:7" ht="89.25">
      <c r="A151" s="125"/>
      <c r="B151" s="47"/>
      <c r="C151" s="49" t="s">
        <v>280</v>
      </c>
      <c r="D151" s="57"/>
      <c r="E151" s="86"/>
      <c r="F151" s="100"/>
      <c r="G151" s="126"/>
    </row>
    <row r="152" spans="1:7">
      <c r="A152" s="125"/>
      <c r="B152" s="47"/>
      <c r="C152" s="49" t="s">
        <v>200</v>
      </c>
      <c r="D152" s="57"/>
      <c r="E152" s="86"/>
      <c r="F152" s="100"/>
      <c r="G152" s="126"/>
    </row>
    <row r="153" spans="1:7">
      <c r="A153" s="125"/>
      <c r="B153" s="47"/>
      <c r="C153" s="54" t="str">
        <f>DisFor(E153)</f>
        <v>4.3 · 6+4.3 · 5</v>
      </c>
      <c r="D153" s="57"/>
      <c r="E153" s="86">
        <f>4.3*6+4.3*5</f>
        <v>47.3</v>
      </c>
      <c r="F153" s="100"/>
      <c r="G153" s="126"/>
    </row>
    <row r="154" spans="1:7" ht="25.5">
      <c r="A154" s="125"/>
      <c r="B154" s="47"/>
      <c r="C154" s="49" t="s">
        <v>312</v>
      </c>
      <c r="D154" s="57"/>
      <c r="E154" s="86"/>
      <c r="F154" s="100"/>
      <c r="G154" s="126"/>
    </row>
    <row r="155" spans="1:7">
      <c r="A155" s="125"/>
      <c r="B155" s="47"/>
      <c r="C155" s="54" t="str">
        <f>DisFor(E155)</f>
        <v>(1.4 · 2+0.8 · 2) · 7.55 · 2+(1.21 · 2+4.18 · 0.8) · 2</v>
      </c>
      <c r="D155" s="57"/>
      <c r="E155" s="86">
        <f>(1.4*2+0.8*2)*7.55*2+(1.21*2+4.18*0.8)*2</f>
        <v>77.967999999999989</v>
      </c>
      <c r="F155" s="100"/>
      <c r="G155" s="126"/>
    </row>
    <row r="156" spans="1:7">
      <c r="A156" s="127"/>
      <c r="B156" s="53"/>
      <c r="C156" s="64" t="s">
        <v>283</v>
      </c>
      <c r="D156" s="57" t="s">
        <v>2</v>
      </c>
      <c r="E156" s="86">
        <f>SUM(E153:E155)</f>
        <v>125.26799999999999</v>
      </c>
      <c r="F156" s="100"/>
      <c r="G156" s="126"/>
    </row>
    <row r="157" spans="1:7" ht="25.5">
      <c r="A157" s="125">
        <v>33</v>
      </c>
      <c r="B157" s="47">
        <v>855</v>
      </c>
      <c r="C157" s="214" t="s">
        <v>244</v>
      </c>
      <c r="D157" s="57"/>
      <c r="E157" s="86"/>
      <c r="F157" s="100"/>
      <c r="G157" s="126"/>
    </row>
    <row r="158" spans="1:7" ht="90.75">
      <c r="A158" s="125"/>
      <c r="B158" s="47"/>
      <c r="C158" s="49" t="s">
        <v>316</v>
      </c>
      <c r="D158" s="57"/>
      <c r="E158" s="86"/>
      <c r="F158" s="100"/>
      <c r="G158" s="126"/>
    </row>
    <row r="159" spans="1:7">
      <c r="A159" s="125"/>
      <c r="B159" s="47"/>
      <c r="C159" s="49" t="s">
        <v>201</v>
      </c>
      <c r="D159" s="57"/>
      <c r="E159" s="86"/>
      <c r="F159" s="100"/>
      <c r="G159" s="126"/>
    </row>
    <row r="160" spans="1:7">
      <c r="A160" s="125"/>
      <c r="B160" s="47"/>
      <c r="C160" s="54" t="str">
        <f>DisFor(E160)</f>
        <v>(0.2+0.4) · 3+0.2 · 0.2</v>
      </c>
      <c r="D160" s="57"/>
      <c r="E160" s="86">
        <f>(0.2+0.4)*3+0.2*0.2</f>
        <v>1.8400000000000003</v>
      </c>
      <c r="F160" s="100"/>
      <c r="G160" s="126"/>
    </row>
    <row r="161" spans="1:7">
      <c r="A161" s="125"/>
      <c r="B161" s="47"/>
      <c r="C161" s="49" t="s">
        <v>317</v>
      </c>
      <c r="D161" s="57"/>
      <c r="E161" s="86"/>
      <c r="F161" s="100"/>
      <c r="G161" s="126"/>
    </row>
    <row r="162" spans="1:7">
      <c r="A162" s="125"/>
      <c r="B162" s="47"/>
      <c r="C162" s="54" t="str">
        <f>DisFor(E162)</f>
        <v>((0.29+0.58) · 0.8 · 2) · 2</v>
      </c>
      <c r="D162" s="57"/>
      <c r="E162" s="86">
        <f>((0.29+0.58)*0.8*2)*2</f>
        <v>2.7839999999999998</v>
      </c>
      <c r="F162" s="100"/>
      <c r="G162" s="126"/>
    </row>
    <row r="163" spans="1:7">
      <c r="A163" s="127"/>
      <c r="B163" s="53"/>
      <c r="C163" s="64" t="s">
        <v>283</v>
      </c>
      <c r="D163" s="57" t="s">
        <v>2</v>
      </c>
      <c r="E163" s="86">
        <f>SUM(E160:E162)</f>
        <v>4.6240000000000006</v>
      </c>
      <c r="F163" s="100"/>
      <c r="G163" s="126"/>
    </row>
    <row r="164" spans="1:7" ht="25.5">
      <c r="A164" s="125">
        <v>34</v>
      </c>
      <c r="B164" s="47">
        <v>859</v>
      </c>
      <c r="C164" s="214" t="s">
        <v>318</v>
      </c>
      <c r="D164" s="57"/>
      <c r="E164" s="86"/>
      <c r="F164" s="100"/>
      <c r="G164" s="126"/>
    </row>
    <row r="165" spans="1:7" ht="127.5">
      <c r="A165" s="125"/>
      <c r="B165" s="47"/>
      <c r="C165" s="49" t="s">
        <v>319</v>
      </c>
      <c r="D165" s="57"/>
      <c r="E165" s="86"/>
      <c r="F165" s="100"/>
      <c r="G165" s="126"/>
    </row>
    <row r="166" spans="1:7">
      <c r="A166" s="125"/>
      <c r="B166" s="47"/>
      <c r="C166" s="49" t="s">
        <v>307</v>
      </c>
      <c r="D166" s="57"/>
      <c r="E166" s="86"/>
      <c r="F166" s="100"/>
      <c r="G166" s="126"/>
    </row>
    <row r="167" spans="1:7">
      <c r="A167" s="125"/>
      <c r="B167" s="47"/>
      <c r="C167" s="54" t="str">
        <f>DisFor(E167)</f>
        <v>0.2 · 0.4 · 3</v>
      </c>
      <c r="D167" s="57"/>
      <c r="E167" s="86">
        <f>0.2*0.4*3</f>
        <v>0.24000000000000005</v>
      </c>
      <c r="F167" s="100"/>
      <c r="G167" s="126"/>
    </row>
    <row r="168" spans="1:7">
      <c r="A168" s="125"/>
      <c r="B168" s="47"/>
      <c r="C168" s="49" t="s">
        <v>317</v>
      </c>
      <c r="D168" s="57"/>
      <c r="E168" s="86"/>
      <c r="F168" s="100"/>
      <c r="G168" s="126"/>
    </row>
    <row r="169" spans="1:7">
      <c r="A169" s="125"/>
      <c r="B169" s="47"/>
      <c r="C169" s="54" t="str">
        <f>DisFor(E169)</f>
        <v>(0.372 · 0.8+2 · 1.71 · 0.03+4 · 1.81 · 0.06 · 0.01) · 2</v>
      </c>
      <c r="D169" s="57"/>
      <c r="E169" s="86">
        <f>(0.372*0.8+2*1.71*0.03+4*1.81*0.06*0.01)*2</f>
        <v>0.80908800000000003</v>
      </c>
      <c r="F169" s="100"/>
      <c r="G169" s="126"/>
    </row>
    <row r="170" spans="1:7">
      <c r="A170" s="127"/>
      <c r="B170" s="53"/>
      <c r="C170" s="64" t="s">
        <v>251</v>
      </c>
      <c r="D170" s="57" t="s">
        <v>0</v>
      </c>
      <c r="E170" s="86">
        <f>SUM(E167:E169)</f>
        <v>1.049088</v>
      </c>
      <c r="F170" s="100"/>
      <c r="G170" s="126"/>
    </row>
    <row r="171" spans="1:7" ht="38.25">
      <c r="A171" s="127">
        <v>35</v>
      </c>
      <c r="B171" s="47">
        <v>880</v>
      </c>
      <c r="C171" s="52" t="s">
        <v>325</v>
      </c>
      <c r="D171" s="57"/>
      <c r="E171" s="86"/>
      <c r="F171" s="100"/>
      <c r="G171" s="126"/>
    </row>
    <row r="172" spans="1:7" ht="25.5">
      <c r="A172" s="127"/>
      <c r="B172" s="47"/>
      <c r="C172" s="54" t="s">
        <v>330</v>
      </c>
      <c r="D172" s="57"/>
      <c r="E172" s="86"/>
      <c r="F172" s="100"/>
      <c r="G172" s="126"/>
    </row>
    <row r="173" spans="1:7" ht="38.25">
      <c r="A173" s="127"/>
      <c r="B173" s="47"/>
      <c r="C173" s="54" t="s">
        <v>336</v>
      </c>
      <c r="D173" s="57"/>
      <c r="E173" s="86"/>
      <c r="F173" s="100"/>
      <c r="G173" s="126"/>
    </row>
    <row r="174" spans="1:7">
      <c r="A174" s="127"/>
      <c r="B174" s="47"/>
      <c r="C174" s="54" t="e">
        <f>DisFor(F175)</f>
        <v>#VALUE!</v>
      </c>
      <c r="D174" s="57"/>
      <c r="E174" s="86"/>
      <c r="F174" s="100"/>
      <c r="G174" s="126"/>
    </row>
    <row r="175" spans="1:7">
      <c r="A175" s="127"/>
      <c r="B175" s="53"/>
      <c r="C175" s="54" t="s">
        <v>328</v>
      </c>
      <c r="D175" s="57" t="s">
        <v>329</v>
      </c>
      <c r="E175" s="86">
        <v>3</v>
      </c>
      <c r="F175" s="100"/>
      <c r="G175" s="126"/>
    </row>
    <row r="176" spans="1:7">
      <c r="A176" s="125">
        <v>36</v>
      </c>
      <c r="B176" s="47">
        <v>890</v>
      </c>
      <c r="C176" s="52" t="s">
        <v>171</v>
      </c>
      <c r="D176" s="57"/>
      <c r="E176" s="86"/>
      <c r="F176" s="100"/>
      <c r="G176" s="126"/>
    </row>
    <row r="177" spans="1:9" ht="25.5">
      <c r="A177" s="125"/>
      <c r="B177" s="47"/>
      <c r="C177" s="54" t="s">
        <v>184</v>
      </c>
      <c r="D177" s="57"/>
      <c r="E177" s="86"/>
      <c r="F177" s="100"/>
      <c r="G177" s="126"/>
    </row>
    <row r="178" spans="1:9">
      <c r="A178" s="127"/>
      <c r="B178" s="53"/>
      <c r="C178" s="193" t="s">
        <v>170</v>
      </c>
      <c r="D178" s="57" t="s">
        <v>2</v>
      </c>
      <c r="E178" s="86">
        <v>50</v>
      </c>
      <c r="F178" s="100"/>
      <c r="G178" s="126"/>
    </row>
    <row r="179" spans="1:9">
      <c r="A179" s="125">
        <v>37</v>
      </c>
      <c r="B179" s="47">
        <v>891</v>
      </c>
      <c r="C179" s="52" t="s">
        <v>269</v>
      </c>
      <c r="D179" s="57"/>
      <c r="E179" s="86"/>
      <c r="F179" s="100"/>
      <c r="G179" s="126"/>
    </row>
    <row r="180" spans="1:9">
      <c r="A180" s="125"/>
      <c r="B180" s="53"/>
      <c r="C180" s="54" t="s">
        <v>270</v>
      </c>
      <c r="D180" s="57" t="s">
        <v>16</v>
      </c>
      <c r="E180" s="86"/>
      <c r="F180" s="100"/>
      <c r="G180" s="126"/>
    </row>
    <row r="181" spans="1:9">
      <c r="A181" s="125">
        <v>38</v>
      </c>
      <c r="B181" s="47">
        <v>893</v>
      </c>
      <c r="C181" s="52" t="s">
        <v>271</v>
      </c>
      <c r="D181" s="57"/>
      <c r="E181" s="86"/>
      <c r="F181" s="100"/>
      <c r="G181" s="126"/>
    </row>
    <row r="182" spans="1:9" ht="15.75" thickBot="1">
      <c r="A182" s="125"/>
      <c r="B182" s="53"/>
      <c r="C182" s="54" t="s">
        <v>270</v>
      </c>
      <c r="D182" s="57" t="s">
        <v>16</v>
      </c>
      <c r="E182" s="86"/>
      <c r="F182" s="100"/>
      <c r="G182" s="126"/>
    </row>
    <row r="183" spans="1:9" s="2" customFormat="1" ht="15.75" thickBot="1">
      <c r="A183" s="392"/>
      <c r="B183" s="356"/>
      <c r="C183" s="391"/>
      <c r="D183" s="361"/>
      <c r="E183" s="361"/>
      <c r="F183" s="400" t="s">
        <v>87</v>
      </c>
      <c r="G183" s="401"/>
    </row>
    <row r="184" spans="1:9" ht="15.75" thickBot="1">
      <c r="A184" s="60"/>
      <c r="B184" s="98"/>
      <c r="C184" s="192"/>
      <c r="D184" s="167"/>
      <c r="E184" s="167"/>
      <c r="F184" s="118"/>
      <c r="G184" s="118"/>
    </row>
    <row r="185" spans="1:9" s="2" customFormat="1" ht="15.75" thickBot="1">
      <c r="A185" s="393"/>
      <c r="B185" s="394"/>
      <c r="C185" s="423" t="s">
        <v>88</v>
      </c>
      <c r="D185" s="423"/>
      <c r="E185" s="423"/>
      <c r="F185" s="423"/>
      <c r="G185" s="424"/>
      <c r="H185" s="376"/>
      <c r="I185" s="377"/>
    </row>
    <row r="186" spans="1:9">
      <c r="A186" s="60"/>
      <c r="B186" s="98"/>
      <c r="C186" s="192"/>
      <c r="D186" s="167"/>
      <c r="E186" s="167"/>
      <c r="F186" s="118"/>
      <c r="G186" s="118"/>
      <c r="H186" s="45"/>
      <c r="I186" s="21"/>
    </row>
    <row r="187" spans="1:9">
      <c r="A187" s="60"/>
      <c r="B187" s="164"/>
      <c r="C187" s="192"/>
      <c r="D187" s="60"/>
      <c r="E187" s="60"/>
      <c r="F187" s="98"/>
      <c r="G187" s="98"/>
    </row>
    <row r="188" spans="1:9">
      <c r="A188" s="60"/>
      <c r="B188" s="98"/>
      <c r="C188" s="192"/>
      <c r="D188" s="60"/>
      <c r="E188" s="60"/>
      <c r="F188" s="98"/>
      <c r="G188" s="98"/>
    </row>
    <row r="189" spans="1:9">
      <c r="A189" s="60"/>
      <c r="B189" s="414"/>
      <c r="C189" s="415"/>
      <c r="D189" s="60"/>
      <c r="E189" s="60"/>
      <c r="F189" s="98"/>
      <c r="G189" s="98"/>
    </row>
    <row r="190" spans="1:9">
      <c r="B190" s="165"/>
      <c r="C190" s="194"/>
      <c r="D190" s="60"/>
      <c r="E190" s="60"/>
      <c r="F190" s="98"/>
    </row>
    <row r="191" spans="1:9">
      <c r="B191" s="403"/>
      <c r="C191" s="404"/>
      <c r="D191" s="404"/>
      <c r="E191" s="404"/>
      <c r="F191" s="405"/>
    </row>
    <row r="192" spans="1:9">
      <c r="B192" s="406"/>
      <c r="C192" s="407"/>
      <c r="D192" s="407"/>
      <c r="E192" s="407"/>
      <c r="F192" s="408"/>
      <c r="G192" s="108"/>
    </row>
    <row r="193" spans="2:8">
      <c r="B193" s="409"/>
      <c r="C193" s="410"/>
      <c r="D193" s="410"/>
      <c r="E193" s="410"/>
      <c r="F193" s="411"/>
      <c r="G193" s="108"/>
    </row>
    <row r="194" spans="2:8">
      <c r="H194" s="51"/>
    </row>
    <row r="195" spans="2:8">
      <c r="C195" s="15"/>
      <c r="H195" s="51"/>
    </row>
    <row r="196" spans="2:8">
      <c r="C196" s="15"/>
      <c r="G196" s="109"/>
    </row>
  </sheetData>
  <sheetProtection selectLockedCells="1" selectUnlockedCells="1"/>
  <mergeCells count="10">
    <mergeCell ref="B191:F193"/>
    <mergeCell ref="B189:C189"/>
    <mergeCell ref="A1:G1"/>
    <mergeCell ref="A2:G2"/>
    <mergeCell ref="D84:G84"/>
    <mergeCell ref="H138:I139"/>
    <mergeCell ref="M107:T107"/>
    <mergeCell ref="C185:E185"/>
    <mergeCell ref="F185:G185"/>
    <mergeCell ref="E111:F111"/>
  </mergeCells>
  <pageMargins left="0.98425196850393704" right="0.51181102362204722" top="0.47244094488188981" bottom="0.39370078740157483" header="0" footer="0"/>
  <pageSetup paperSize="9" scale="92" firstPageNumber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41"/>
  <sheetViews>
    <sheetView view="pageBreakPreview" topLeftCell="A4" zoomScale="90" zoomScaleNormal="85" zoomScaleSheetLayoutView="90" workbookViewId="0">
      <selection activeCell="G11" sqref="G11"/>
    </sheetView>
  </sheetViews>
  <sheetFormatPr defaultColWidth="9.140625" defaultRowHeight="12"/>
  <cols>
    <col min="1" max="1" width="10.42578125" style="245" customWidth="1"/>
    <col min="2" max="2" width="7.42578125" style="249" bestFit="1" customWidth="1"/>
    <col min="3" max="3" width="53.5703125" style="260" bestFit="1" customWidth="1"/>
    <col min="4" max="4" width="9.28515625" style="271" customWidth="1"/>
    <col min="5" max="5" width="13.7109375" style="280" customWidth="1"/>
    <col min="6" max="6" width="13.28515625" style="251" bestFit="1" customWidth="1"/>
    <col min="7" max="7" width="19.28515625" style="251" bestFit="1" customWidth="1"/>
    <col min="8" max="8" width="13.28515625" style="22" customWidth="1"/>
    <col min="9" max="9" width="4.85546875" style="22" customWidth="1"/>
    <col min="10" max="10" width="9.140625" style="22" customWidth="1"/>
    <col min="11" max="11" width="14.7109375" style="22" bestFit="1" customWidth="1"/>
    <col min="12" max="16384" width="9.140625" style="22"/>
  </cols>
  <sheetData>
    <row r="2" spans="1:8" ht="18.75" customHeight="1">
      <c r="A2" s="428" t="s">
        <v>370</v>
      </c>
      <c r="B2" s="428"/>
      <c r="C2" s="428"/>
      <c r="D2" s="428"/>
      <c r="E2" s="428"/>
      <c r="F2" s="428"/>
      <c r="G2" s="428"/>
    </row>
    <row r="3" spans="1:8" ht="14.25" customHeight="1" thickBot="1">
      <c r="A3" s="242"/>
      <c r="B3" s="247"/>
      <c r="C3" s="242"/>
      <c r="D3" s="262"/>
      <c r="E3" s="274"/>
    </row>
    <row r="4" spans="1:8" s="395" customFormat="1" ht="27" customHeight="1" thickBot="1">
      <c r="A4" s="378" t="s">
        <v>6</v>
      </c>
      <c r="B4" s="379" t="s">
        <v>7</v>
      </c>
      <c r="C4" s="380" t="s">
        <v>8</v>
      </c>
      <c r="D4" s="379" t="s">
        <v>9</v>
      </c>
      <c r="E4" s="379" t="s">
        <v>10</v>
      </c>
      <c r="F4" s="253" t="s">
        <v>11</v>
      </c>
      <c r="G4" s="381" t="s">
        <v>371</v>
      </c>
    </row>
    <row r="5" spans="1:8" s="24" customFormat="1" ht="16.899999999999999" customHeight="1" thickBot="1">
      <c r="A5" s="435" t="s">
        <v>176</v>
      </c>
      <c r="B5" s="436"/>
      <c r="C5" s="436"/>
      <c r="D5" s="433"/>
      <c r="E5" s="433"/>
      <c r="F5" s="433"/>
      <c r="G5" s="434"/>
      <c r="H5" s="23"/>
    </row>
    <row r="6" spans="1:8" s="24" customFormat="1" ht="46.9" customHeight="1">
      <c r="A6" s="291">
        <v>1</v>
      </c>
      <c r="B6" s="305" t="s">
        <v>359</v>
      </c>
      <c r="C6" s="292" t="s">
        <v>91</v>
      </c>
      <c r="D6" s="293" t="s">
        <v>2</v>
      </c>
      <c r="E6" s="294">
        <v>207</v>
      </c>
      <c r="F6" s="295"/>
      <c r="G6" s="296"/>
      <c r="H6" s="23"/>
    </row>
    <row r="7" spans="1:8" s="24" customFormat="1" ht="18.600000000000001" customHeight="1" thickBot="1">
      <c r="A7" s="243">
        <v>2</v>
      </c>
      <c r="B7" s="306" t="s">
        <v>360</v>
      </c>
      <c r="C7" s="258" t="s">
        <v>92</v>
      </c>
      <c r="D7" s="263" t="s">
        <v>1</v>
      </c>
      <c r="E7" s="275">
        <v>46</v>
      </c>
      <c r="F7" s="264"/>
      <c r="G7" s="285"/>
      <c r="H7" s="23"/>
    </row>
    <row r="8" spans="1:8" s="345" customFormat="1" ht="18" customHeight="1" thickBot="1">
      <c r="A8" s="431" t="s">
        <v>175</v>
      </c>
      <c r="B8" s="432"/>
      <c r="C8" s="432"/>
      <c r="D8" s="432"/>
      <c r="E8" s="432"/>
      <c r="F8" s="432"/>
      <c r="G8" s="343"/>
    </row>
    <row r="9" spans="1:8" s="25" customFormat="1" ht="15.75" customHeight="1" thickBot="1">
      <c r="A9" s="244"/>
      <c r="B9" s="244"/>
      <c r="C9" s="259"/>
      <c r="D9" s="276"/>
      <c r="E9" s="276"/>
      <c r="F9" s="244"/>
      <c r="G9" s="286"/>
    </row>
    <row r="10" spans="1:8" s="24" customFormat="1" ht="16.899999999999999" customHeight="1" thickBot="1">
      <c r="A10" s="435" t="s">
        <v>174</v>
      </c>
      <c r="B10" s="436"/>
      <c r="C10" s="436"/>
      <c r="D10" s="429"/>
      <c r="E10" s="429"/>
      <c r="F10" s="429"/>
      <c r="G10" s="430"/>
    </row>
    <row r="11" spans="1:8" ht="34.15" customHeight="1">
      <c r="A11" s="299">
        <v>3</v>
      </c>
      <c r="B11" s="307" t="s">
        <v>361</v>
      </c>
      <c r="C11" s="287" t="s">
        <v>286</v>
      </c>
      <c r="D11" s="288" t="s">
        <v>0</v>
      </c>
      <c r="E11" s="289">
        <v>7</v>
      </c>
      <c r="F11" s="290"/>
      <c r="G11" s="300"/>
    </row>
    <row r="12" spans="1:8" ht="34.15" customHeight="1">
      <c r="A12" s="301">
        <v>4</v>
      </c>
      <c r="B12" s="308" t="s">
        <v>362</v>
      </c>
      <c r="C12" s="254" t="s">
        <v>287</v>
      </c>
      <c r="D12" s="265" t="s">
        <v>0</v>
      </c>
      <c r="E12" s="278">
        <v>8.25</v>
      </c>
      <c r="F12" s="267"/>
      <c r="G12" s="302"/>
    </row>
    <row r="13" spans="1:8" ht="34.15" customHeight="1">
      <c r="A13" s="301">
        <v>5</v>
      </c>
      <c r="B13" s="308" t="s">
        <v>363</v>
      </c>
      <c r="C13" s="255" t="s">
        <v>284</v>
      </c>
      <c r="D13" s="268" t="s">
        <v>0</v>
      </c>
      <c r="E13" s="278">
        <v>12.42</v>
      </c>
      <c r="F13" s="267"/>
      <c r="G13" s="302"/>
    </row>
    <row r="14" spans="1:8" ht="34.15" customHeight="1" thickBot="1">
      <c r="A14" s="303">
        <v>6</v>
      </c>
      <c r="B14" s="309" t="s">
        <v>364</v>
      </c>
      <c r="C14" s="297" t="s">
        <v>285</v>
      </c>
      <c r="D14" s="298" t="s">
        <v>0</v>
      </c>
      <c r="E14" s="277">
        <v>8.5</v>
      </c>
      <c r="F14" s="266"/>
      <c r="G14" s="304"/>
    </row>
    <row r="15" spans="1:8" s="345" customFormat="1" ht="18" customHeight="1" thickBot="1">
      <c r="A15" s="431" t="s">
        <v>173</v>
      </c>
      <c r="B15" s="432"/>
      <c r="C15" s="432"/>
      <c r="D15" s="432"/>
      <c r="E15" s="432"/>
      <c r="F15" s="432"/>
      <c r="G15" s="343"/>
      <c r="H15" s="344"/>
    </row>
    <row r="16" spans="1:8" s="25" customFormat="1" ht="13.5" thickBot="1">
      <c r="A16" s="26"/>
      <c r="B16" s="248"/>
      <c r="C16" s="256"/>
      <c r="D16" s="269"/>
      <c r="E16" s="279"/>
      <c r="F16" s="270"/>
      <c r="G16" s="270"/>
    </row>
    <row r="17" spans="1:8" s="347" customFormat="1" ht="16.5" thickBot="1">
      <c r="A17" s="437" t="s">
        <v>94</v>
      </c>
      <c r="B17" s="438"/>
      <c r="C17" s="438"/>
      <c r="D17" s="438"/>
      <c r="E17" s="438"/>
      <c r="F17" s="438"/>
      <c r="G17" s="346"/>
    </row>
    <row r="18" spans="1:8">
      <c r="G18" s="251" t="s">
        <v>93</v>
      </c>
    </row>
    <row r="19" spans="1:8" ht="15">
      <c r="A19" s="441" t="s">
        <v>293</v>
      </c>
      <c r="B19" s="441"/>
      <c r="C19" s="441"/>
      <c r="D19" s="441"/>
      <c r="E19" s="441"/>
      <c r="F19" s="441"/>
      <c r="G19" s="250"/>
    </row>
    <row r="20" spans="1:8">
      <c r="A20" s="246"/>
      <c r="B20" s="251"/>
      <c r="E20" s="271"/>
    </row>
    <row r="21" spans="1:8">
      <c r="A21" s="246"/>
      <c r="B21" s="251"/>
      <c r="E21" s="271"/>
    </row>
    <row r="22" spans="1:8" s="27" customFormat="1">
      <c r="A22" s="246"/>
      <c r="B22" s="251"/>
      <c r="C22" s="260"/>
      <c r="D22" s="271"/>
      <c r="E22" s="271"/>
      <c r="F22" s="251"/>
      <c r="G22" s="251"/>
    </row>
    <row r="23" spans="1:8">
      <c r="A23" s="246"/>
      <c r="B23" s="251"/>
      <c r="E23" s="271"/>
    </row>
    <row r="24" spans="1:8" ht="12.75" customHeight="1">
      <c r="A24" s="246"/>
      <c r="B24" s="251"/>
      <c r="E24" s="271"/>
    </row>
    <row r="25" spans="1:8">
      <c r="A25" s="246"/>
      <c r="B25" s="251"/>
      <c r="E25" s="271"/>
    </row>
    <row r="26" spans="1:8">
      <c r="A26" s="246"/>
      <c r="B26" s="251"/>
      <c r="E26" s="271"/>
    </row>
    <row r="27" spans="1:8">
      <c r="A27" s="246"/>
      <c r="B27" s="251"/>
      <c r="E27" s="271"/>
    </row>
    <row r="28" spans="1:8">
      <c r="A28" s="246"/>
      <c r="B28" s="251"/>
      <c r="E28" s="271"/>
    </row>
    <row r="29" spans="1:8">
      <c r="A29" s="246"/>
      <c r="B29" s="251"/>
      <c r="E29" s="271"/>
    </row>
    <row r="31" spans="1:8" ht="15">
      <c r="B31" s="252"/>
      <c r="C31" s="261"/>
      <c r="D31" s="257"/>
      <c r="E31" s="272"/>
      <c r="F31" s="283"/>
      <c r="G31" s="283"/>
      <c r="H31" s="44"/>
    </row>
    <row r="32" spans="1:8" ht="15">
      <c r="A32" s="246"/>
      <c r="B32" s="252"/>
      <c r="C32" s="261"/>
      <c r="D32" s="257"/>
      <c r="E32" s="272"/>
      <c r="F32" s="283"/>
      <c r="G32" s="283"/>
      <c r="H32" s="44"/>
    </row>
    <row r="33" spans="1:7" ht="15">
      <c r="A33" s="246"/>
      <c r="B33" s="251"/>
      <c r="E33" s="281"/>
      <c r="F33" s="284"/>
      <c r="G33" s="284"/>
    </row>
    <row r="34" spans="1:7" ht="14.25">
      <c r="A34" s="246"/>
      <c r="B34" s="251"/>
      <c r="E34" s="439"/>
      <c r="F34" s="439"/>
      <c r="G34" s="439"/>
    </row>
    <row r="35" spans="1:7" ht="18">
      <c r="A35" s="246"/>
      <c r="B35" s="251"/>
      <c r="E35" s="440"/>
      <c r="F35" s="440"/>
      <c r="G35" s="440"/>
    </row>
    <row r="36" spans="1:7" ht="18">
      <c r="A36" s="246"/>
      <c r="B36" s="251"/>
      <c r="E36" s="282"/>
      <c r="F36" s="273"/>
      <c r="G36" s="273"/>
    </row>
    <row r="37" spans="1:7" ht="15">
      <c r="A37" s="246"/>
      <c r="B37" s="251"/>
      <c r="E37" s="281"/>
      <c r="F37" s="284"/>
      <c r="G37" s="284"/>
    </row>
    <row r="38" spans="1:7" ht="18">
      <c r="A38" s="246"/>
      <c r="B38" s="251"/>
      <c r="E38" s="440"/>
      <c r="F38" s="440"/>
      <c r="G38" s="440"/>
    </row>
    <row r="39" spans="1:7" ht="15">
      <c r="A39" s="246"/>
      <c r="B39" s="251"/>
      <c r="E39" s="281"/>
      <c r="F39" s="284"/>
      <c r="G39" s="284"/>
    </row>
    <row r="40" spans="1:7" ht="14.25">
      <c r="A40" s="246"/>
      <c r="B40" s="251"/>
      <c r="E40" s="439"/>
      <c r="F40" s="439"/>
      <c r="G40" s="439"/>
    </row>
    <row r="41" spans="1:7" ht="18">
      <c r="A41" s="246"/>
      <c r="B41" s="251"/>
      <c r="E41" s="440"/>
      <c r="F41" s="440"/>
      <c r="G41" s="440"/>
    </row>
  </sheetData>
  <mergeCells count="14">
    <mergeCell ref="A17:F17"/>
    <mergeCell ref="E40:G40"/>
    <mergeCell ref="E41:G41"/>
    <mergeCell ref="A19:F19"/>
    <mergeCell ref="E34:G34"/>
    <mergeCell ref="E35:G35"/>
    <mergeCell ref="E38:G38"/>
    <mergeCell ref="A2:G2"/>
    <mergeCell ref="D10:G10"/>
    <mergeCell ref="A15:F15"/>
    <mergeCell ref="D5:G5"/>
    <mergeCell ref="A8:F8"/>
    <mergeCell ref="A5:C5"/>
    <mergeCell ref="A10:C10"/>
  </mergeCells>
  <printOptions horizontalCentered="1"/>
  <pageMargins left="1.1023622047244095" right="0.31496062992125984" top="0.70866141732283472" bottom="0.70866141732283472" header="0.31496062992125984" footer="0.31496062992125984"/>
  <pageSetup paperSize="9" scale="68" firstPageNumber="2" orientation="portrait" useFirstPageNumber="1" r:id="rId1"/>
  <headerFooter scaleWithDoc="0" alignWithMargins="0">
    <oddHeader xml:space="preserve">&amp;R&amp;"Arial,Italic"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2:H32"/>
  <sheetViews>
    <sheetView view="pageBreakPreview" zoomScale="115" zoomScaleNormal="85" zoomScaleSheetLayoutView="115" workbookViewId="0">
      <selection activeCell="B38" sqref="B38"/>
    </sheetView>
  </sheetViews>
  <sheetFormatPr defaultRowHeight="15"/>
  <cols>
    <col min="1" max="1" width="14.7109375" customWidth="1"/>
    <col min="2" max="2" width="54.85546875" customWidth="1"/>
    <col min="3" max="3" width="24" customWidth="1"/>
    <col min="4" max="4" width="12.7109375" bestFit="1" customWidth="1"/>
    <col min="8" max="8" width="16.140625" customWidth="1"/>
  </cols>
  <sheetData>
    <row r="2" spans="1:8" ht="15.75">
      <c r="A2" s="448" t="s">
        <v>365</v>
      </c>
      <c r="B2" s="448"/>
      <c r="C2" s="448"/>
    </row>
    <row r="3" spans="1:8" ht="15.75" thickBot="1"/>
    <row r="4" spans="1:8" ht="15.75" thickBot="1">
      <c r="A4" s="7"/>
      <c r="B4" s="311" t="s">
        <v>96</v>
      </c>
      <c r="C4" s="312" t="s">
        <v>97</v>
      </c>
    </row>
    <row r="5" spans="1:8" ht="30" customHeight="1" thickBot="1">
      <c r="A5" s="310"/>
    </row>
    <row r="6" spans="1:8" s="9" customFormat="1" ht="21.6" customHeight="1" thickBot="1">
      <c r="A6" s="442" t="s">
        <v>104</v>
      </c>
      <c r="B6" s="443"/>
      <c r="C6" s="444"/>
    </row>
    <row r="7" spans="1:8" s="272" customFormat="1" ht="21" customHeight="1">
      <c r="A7" s="316" t="s">
        <v>12</v>
      </c>
      <c r="B7" s="323" t="s">
        <v>90</v>
      </c>
      <c r="C7" s="327"/>
    </row>
    <row r="8" spans="1:8" s="272" customFormat="1" ht="21" customHeight="1">
      <c r="A8" s="317" t="s">
        <v>95</v>
      </c>
      <c r="B8" s="324" t="s">
        <v>98</v>
      </c>
      <c r="C8" s="328"/>
    </row>
    <row r="9" spans="1:8" s="272" customFormat="1" ht="21" customHeight="1">
      <c r="A9" s="317" t="s">
        <v>95</v>
      </c>
      <c r="B9" s="324" t="s">
        <v>163</v>
      </c>
      <c r="C9" s="328"/>
    </row>
    <row r="10" spans="1:8" s="272" customFormat="1" ht="21" customHeight="1">
      <c r="A10" s="317" t="s">
        <v>44</v>
      </c>
      <c r="B10" s="325" t="s">
        <v>99</v>
      </c>
      <c r="C10" s="328"/>
    </row>
    <row r="11" spans="1:8" s="272" customFormat="1" ht="21" customHeight="1">
      <c r="A11" s="317" t="s">
        <v>54</v>
      </c>
      <c r="B11" s="325" t="s">
        <v>100</v>
      </c>
      <c r="C11" s="328"/>
    </row>
    <row r="12" spans="1:8" s="272" customFormat="1" ht="21" customHeight="1">
      <c r="A12" s="317" t="s">
        <v>68</v>
      </c>
      <c r="B12" s="325" t="s">
        <v>101</v>
      </c>
      <c r="C12" s="328"/>
    </row>
    <row r="13" spans="1:8" s="272" customFormat="1" ht="21" customHeight="1" thickBot="1">
      <c r="A13" s="318" t="s">
        <v>80</v>
      </c>
      <c r="B13" s="326" t="s">
        <v>102</v>
      </c>
      <c r="C13" s="329"/>
      <c r="H13" s="319"/>
    </row>
    <row r="14" spans="1:8" ht="15.75" thickBot="1">
      <c r="A14" s="320"/>
      <c r="B14" s="321" t="s">
        <v>103</v>
      </c>
      <c r="C14" s="322"/>
    </row>
    <row r="15" spans="1:8" ht="15.75" thickBot="1">
      <c r="A15" s="7"/>
      <c r="B15" s="37"/>
      <c r="C15" s="29"/>
    </row>
    <row r="16" spans="1:8" s="9" customFormat="1" ht="21.6" customHeight="1" thickBot="1">
      <c r="A16" s="442" t="s">
        <v>187</v>
      </c>
      <c r="B16" s="443"/>
      <c r="C16" s="444"/>
    </row>
    <row r="17" spans="1:4" s="272" customFormat="1" ht="21" customHeight="1">
      <c r="A17" s="316" t="s">
        <v>12</v>
      </c>
      <c r="B17" s="323" t="s">
        <v>90</v>
      </c>
      <c r="C17" s="327"/>
    </row>
    <row r="18" spans="1:4" s="272" customFormat="1" ht="21" customHeight="1">
      <c r="A18" s="317" t="s">
        <v>95</v>
      </c>
      <c r="B18" s="324" t="s">
        <v>98</v>
      </c>
      <c r="C18" s="328"/>
    </row>
    <row r="19" spans="1:4" s="272" customFormat="1" ht="21" customHeight="1">
      <c r="A19" s="317" t="s">
        <v>95</v>
      </c>
      <c r="B19" s="324" t="s">
        <v>163</v>
      </c>
      <c r="C19" s="328"/>
    </row>
    <row r="20" spans="1:4" s="272" customFormat="1" ht="21" customHeight="1">
      <c r="A20" s="317" t="s">
        <v>44</v>
      </c>
      <c r="B20" s="325" t="s">
        <v>99</v>
      </c>
      <c r="C20" s="328"/>
    </row>
    <row r="21" spans="1:4" s="272" customFormat="1" ht="21" customHeight="1">
      <c r="A21" s="317" t="s">
        <v>54</v>
      </c>
      <c r="B21" s="325" t="s">
        <v>100</v>
      </c>
      <c r="C21" s="328"/>
    </row>
    <row r="22" spans="1:4" s="272" customFormat="1" ht="21" customHeight="1">
      <c r="A22" s="317" t="s">
        <v>68</v>
      </c>
      <c r="B22" s="325" t="s">
        <v>101</v>
      </c>
      <c r="C22" s="328"/>
    </row>
    <row r="23" spans="1:4" s="272" customFormat="1" ht="21" customHeight="1" thickBot="1">
      <c r="A23" s="333" t="s">
        <v>80</v>
      </c>
      <c r="B23" s="331" t="s">
        <v>102</v>
      </c>
      <c r="C23" s="334"/>
    </row>
    <row r="24" spans="1:4" ht="15.75" thickBot="1">
      <c r="A24" s="320"/>
      <c r="B24" s="321" t="s">
        <v>103</v>
      </c>
      <c r="C24" s="332"/>
    </row>
    <row r="25" spans="1:4" ht="15.75" thickBot="1">
      <c r="A25" s="330"/>
      <c r="B25" s="330"/>
      <c r="C25" s="28"/>
    </row>
    <row r="26" spans="1:4" s="9" customFormat="1" ht="21.6" customHeight="1" thickBot="1">
      <c r="A26" s="445" t="s">
        <v>89</v>
      </c>
      <c r="B26" s="446"/>
      <c r="C26" s="447"/>
      <c r="D26" s="335"/>
    </row>
    <row r="27" spans="1:4" s="272" customFormat="1" ht="21" customHeight="1">
      <c r="A27" s="336" t="s">
        <v>177</v>
      </c>
      <c r="B27" s="323" t="s">
        <v>90</v>
      </c>
      <c r="C27" s="327"/>
    </row>
    <row r="28" spans="1:4" s="272" customFormat="1" ht="21" customHeight="1" thickBot="1">
      <c r="A28" s="337" t="s">
        <v>178</v>
      </c>
      <c r="B28" s="338" t="s">
        <v>105</v>
      </c>
      <c r="C28" s="334"/>
    </row>
    <row r="29" spans="1:4" ht="15.75" thickBot="1">
      <c r="A29" s="313"/>
      <c r="B29" s="314" t="s">
        <v>103</v>
      </c>
      <c r="C29" s="315"/>
    </row>
    <row r="30" spans="1:4" ht="15.75" thickBot="1">
      <c r="A30" s="28"/>
      <c r="B30" s="28"/>
      <c r="C30" s="28"/>
    </row>
    <row r="31" spans="1:4" ht="15.75">
      <c r="A31" s="28"/>
      <c r="B31" s="339" t="s">
        <v>355</v>
      </c>
      <c r="C31" s="340"/>
    </row>
    <row r="32" spans="1:4" ht="16.5" thickBot="1">
      <c r="A32" s="28"/>
      <c r="B32" s="341" t="s">
        <v>356</v>
      </c>
      <c r="C32" s="342"/>
    </row>
  </sheetData>
  <mergeCells count="4">
    <mergeCell ref="A6:C6"/>
    <mergeCell ref="A16:C16"/>
    <mergeCell ref="A26:C26"/>
    <mergeCell ref="A2:C2"/>
  </mergeCells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Drumski most</vt:lpstr>
      <vt:lpstr>Pešački most </vt:lpstr>
      <vt:lpstr>Uklapanje puta</vt:lpstr>
      <vt:lpstr>rekapitulacija</vt:lpstr>
      <vt:lpstr>'Drumski most'!_Toc367194746</vt:lpstr>
      <vt:lpstr>'Uklapanje puta'!Excel_BuiltIn_Print_Area_1_1</vt:lpstr>
      <vt:lpstr>'Drumski most'!Print_Area</vt:lpstr>
      <vt:lpstr>'Pešački most '!Print_Area</vt:lpstr>
      <vt:lpstr>'Uklapanje puta'!Print_Area</vt:lpstr>
      <vt:lpstr>'Drumski most'!Print_Titles</vt:lpstr>
      <vt:lpstr>'Pešački most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Utiber</dc:creator>
  <cp:lastModifiedBy>Snezana Petrovic</cp:lastModifiedBy>
  <cp:lastPrinted>2020-01-30T10:42:51Z</cp:lastPrinted>
  <dcterms:created xsi:type="dcterms:W3CDTF">2017-01-18T12:21:48Z</dcterms:created>
  <dcterms:modified xsi:type="dcterms:W3CDTF">2024-01-12T08:23:43Z</dcterms:modified>
</cp:coreProperties>
</file>