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zana.spasic\Desktop\НАБАВКЕ 2024\NABAVKE ZP PORTAL\0003 - мост фиат\Novi predmeri\"/>
    </mc:Choice>
  </mc:AlternateContent>
  <bookViews>
    <workbookView xWindow="-120" yWindow="-120" windowWidth="29040" windowHeight="15840"/>
  </bookViews>
  <sheets>
    <sheet name="Drumski most" sheetId="1" r:id="rId1"/>
    <sheet name="Pesacki most" sheetId="2" r:id="rId2"/>
    <sheet name="Uklapanje puta" sheetId="3" r:id="rId3"/>
    <sheet name="Rekapitulacija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56" i="1"/>
  <c r="E93" i="1"/>
  <c r="E163" i="2"/>
  <c r="E161" i="2"/>
  <c r="E157" i="2"/>
  <c r="E155" i="2"/>
  <c r="E151" i="2"/>
  <c r="E149" i="2"/>
  <c r="E145" i="2"/>
  <c r="E140" i="2"/>
  <c r="E130" i="2"/>
  <c r="E127" i="2"/>
  <c r="E121" i="2"/>
  <c r="E117" i="2"/>
  <c r="E111" i="2"/>
  <c r="E85" i="2"/>
  <c r="E81" i="2"/>
  <c r="E69" i="2"/>
  <c r="E65" i="2"/>
  <c r="E58" i="2"/>
  <c r="E56" i="2"/>
  <c r="E52" i="2"/>
  <c r="E50" i="2"/>
  <c r="E46" i="2"/>
  <c r="E41" i="2"/>
  <c r="E36" i="2"/>
  <c r="E34" i="2"/>
  <c r="E32" i="2"/>
  <c r="E28" i="2"/>
  <c r="E24" i="2"/>
  <c r="E21" i="2"/>
  <c r="E351" i="1" l="1"/>
  <c r="E349" i="1"/>
  <c r="E347" i="1"/>
  <c r="E344" i="1"/>
  <c r="E340" i="1"/>
  <c r="E338" i="1"/>
  <c r="E336" i="1"/>
  <c r="E334" i="1"/>
  <c r="E330" i="1"/>
  <c r="E328" i="1"/>
  <c r="E324" i="1"/>
  <c r="E320" i="1"/>
  <c r="E318" i="1"/>
  <c r="E316" i="1"/>
  <c r="E314" i="1"/>
  <c r="E312" i="1"/>
  <c r="E310" i="1"/>
  <c r="E308" i="1"/>
  <c r="E304" i="1"/>
  <c r="E302" i="1"/>
  <c r="E300" i="1"/>
  <c r="E298" i="1"/>
  <c r="E294" i="1"/>
  <c r="E292" i="1"/>
  <c r="E290" i="1"/>
  <c r="E286" i="1"/>
  <c r="E284" i="1"/>
  <c r="E282" i="1"/>
  <c r="E278" i="1"/>
  <c r="E276" i="1"/>
  <c r="E274" i="1"/>
  <c r="E270" i="1"/>
  <c r="E266" i="1"/>
  <c r="E264" i="1"/>
  <c r="E260" i="1"/>
  <c r="E256" i="1"/>
  <c r="E253" i="1"/>
  <c r="E238" i="1"/>
  <c r="E235" i="1"/>
  <c r="E232" i="1"/>
  <c r="E230" i="1"/>
  <c r="E224" i="1"/>
  <c r="E220" i="1"/>
  <c r="E217" i="1"/>
  <c r="E213" i="1"/>
  <c r="E210" i="1"/>
  <c r="E186" i="1"/>
  <c r="E184" i="1"/>
  <c r="E180" i="1"/>
  <c r="E172" i="1"/>
  <c r="E169" i="1"/>
  <c r="E161" i="1"/>
  <c r="G160" i="1"/>
  <c r="E157" i="1"/>
  <c r="E150" i="1"/>
  <c r="E146" i="1"/>
  <c r="E136" i="1"/>
  <c r="E133" i="1"/>
  <c r="E129" i="1"/>
  <c r="E127" i="1"/>
  <c r="E125" i="1"/>
  <c r="E123" i="1"/>
  <c r="E121" i="1"/>
  <c r="E119" i="1"/>
  <c r="E117" i="1"/>
  <c r="E115" i="1"/>
  <c r="E111" i="1"/>
  <c r="E109" i="1"/>
  <c r="E105" i="1"/>
  <c r="E101" i="1"/>
  <c r="E99" i="1"/>
  <c r="E97" i="1"/>
  <c r="E95" i="1"/>
  <c r="E91" i="1"/>
  <c r="E89" i="1"/>
  <c r="E87" i="1"/>
  <c r="E85" i="1"/>
  <c r="E83" i="1"/>
  <c r="E81" i="1"/>
  <c r="E71" i="1"/>
  <c r="E69" i="1"/>
  <c r="E67" i="1"/>
  <c r="E65" i="1"/>
  <c r="E60" i="1"/>
  <c r="E58" i="1"/>
  <c r="E52" i="1"/>
  <c r="E48" i="1"/>
  <c r="E46" i="1"/>
  <c r="E44" i="1"/>
  <c r="E38" i="1"/>
  <c r="E35" i="1"/>
  <c r="E31" i="1"/>
  <c r="E28" i="1"/>
  <c r="E25" i="1"/>
</calcChain>
</file>

<file path=xl/comments1.xml><?xml version="1.0" encoding="utf-8"?>
<comments xmlns="http://schemas.openxmlformats.org/spreadsheetml/2006/main">
  <authors>
    <author>Ivan Lukić</author>
  </authors>
  <commentList>
    <comment ref="B295" authorId="0" shapeId="0">
      <text>
        <r>
          <rPr>
            <b/>
            <sz val="9"/>
            <color indexed="81"/>
            <rFont val="Tahoma"/>
            <family val="2"/>
          </rPr>
          <t>Ivan Lukić:</t>
        </r>
        <r>
          <rPr>
            <sz val="9"/>
            <color indexed="81"/>
            <rFont val="Tahoma"/>
            <family val="2"/>
          </rPr>
          <t xml:space="preserve">
u našem predmeru smo imali dva puta ovu poziciju. Jednom je bila manje opisana, tj, bez podele na elemente
</t>
        </r>
      </text>
    </comment>
  </commentList>
</comments>
</file>

<file path=xl/sharedStrings.xml><?xml version="1.0" encoding="utf-8"?>
<sst xmlns="http://schemas.openxmlformats.org/spreadsheetml/2006/main" count="823" uniqueCount="472">
  <si>
    <t>DRUMSKO-PEŠAČKI MOST</t>
  </si>
  <si>
    <t>PREDMER RADOVA</t>
  </si>
  <si>
    <t>R. 
br.</t>
  </si>
  <si>
    <t>Broj poz.</t>
  </si>
  <si>
    <t>OPIS</t>
  </si>
  <si>
    <t>Jed.
mera</t>
  </si>
  <si>
    <t>Količina</t>
  </si>
  <si>
    <t>Jedinična
 cena</t>
  </si>
  <si>
    <t>Iznos bez PDVa</t>
  </si>
  <si>
    <t>51_MO_100</t>
  </si>
  <si>
    <t xml:space="preserve"> PRIPREMNI   RADOVI </t>
  </si>
  <si>
    <t xml:space="preserve">Privremena saobraćajna signalizacija </t>
  </si>
  <si>
    <t>Postavljanje odgovarajuće saobraćajne signalizacije i opreme kojom će se obezbediti radovi na sanaciji mosta i izrada Projekta privremene saobraćajne signalizacije</t>
  </si>
  <si>
    <t>Most će biti zatvoren za saobraćaj za sve vreme obavljanja radova osim za vozila za gradilište.</t>
  </si>
  <si>
    <t>Obračunava se paušalno.</t>
  </si>
  <si>
    <t>pauš</t>
  </si>
  <si>
    <t xml:space="preserve">Geodetski radovi </t>
  </si>
  <si>
    <t>u toku izvođenja radova. Ova pozicija obuhvata neophodna geodetska merenja radi nivelacije elememata kod izrade predviđenih pozicija radova i izradu svih potrebnih Elaborata geodetskih radova za sve izvedene radove (Elaborati potrebni za dobijanje upotrebne dozvole)</t>
  </si>
  <si>
    <t>51_MO_110</t>
  </si>
  <si>
    <t xml:space="preserve">Čišćenje terena </t>
  </si>
  <si>
    <t>u zoni krajnjih stubova, na keglama  i ispod mosta celom dužinom.</t>
  </si>
  <si>
    <t>113.1</t>
  </si>
  <si>
    <t>m2</t>
  </si>
  <si>
    <t>51_MO_120</t>
  </si>
  <si>
    <t>OSTALI PRIPREMNI RADOVI</t>
  </si>
  <si>
    <t>Uklanjanje hidroizolacije</t>
  </si>
  <si>
    <t xml:space="preserve">u punoj širini mosta i dužini mosta između dilatacija, prema opisu u tehničkim uslovima. </t>
  </si>
  <si>
    <t>Obračun po m1 uklonjenog ivičnjaka</t>
  </si>
  <si>
    <t>m1</t>
  </si>
  <si>
    <t>Uklanjanje betona postojeće ploče za smeštaj slivnika</t>
  </si>
  <si>
    <t>Obračun po m3 obijenog betona.</t>
  </si>
  <si>
    <t>m3</t>
  </si>
  <si>
    <t xml:space="preserve"> na oba kraja mosta u dužini 9.0m </t>
  </si>
  <si>
    <t>Obračun je dat po m1 uklonjene dilatacije.</t>
  </si>
  <si>
    <t>Obračun po m1 uklonjene ograde</t>
  </si>
  <si>
    <t>Uklanjanje objekta  ili pojedinih delova objekta</t>
  </si>
  <si>
    <t>131.1</t>
  </si>
  <si>
    <t xml:space="preserve">Rušеnjе cеlоg оbјеktа </t>
  </si>
  <si>
    <t>131.2</t>
  </si>
  <si>
    <t xml:space="preserve">Obračun po m3 uklonjenog betona </t>
  </si>
  <si>
    <t>131.3</t>
  </si>
  <si>
    <t>Uklanjanje betona ručno (štemanjem) ili mašinskim putem (pikhamerima do 6kg).  Štemovanjem treba formirati zonu pravilnog geometrijskog oblika bez isklinjavanja. Šut prikupiti, utovariti na kamion i odneti na gradsku deponiju.</t>
  </si>
  <si>
    <t>*obalni stubovi</t>
  </si>
  <si>
    <t>131.4</t>
  </si>
  <si>
    <t xml:space="preserve">Uklanjanje betona oko korodiralih šipki armature, uključujući i zone sa ispucalim betonom, ručno (štemanjem) ili mašinskim putem (pikhamerima do 6kg). Dubina uklonjenog sloja betona zavisi od očuvanosti athezije između armature i betona i od stepena korozije armature. Ukoliko je očuvana athezija i šipka armature delimično zahvaćena korozijom ne „otkriva“ se komplenta šipka, već samo deo gde je vidljiva korozija. Šut prikupiti, utovariti na kamion i odneti na gradsku deponiju. </t>
  </si>
  <si>
    <t>*rečni stubovi</t>
  </si>
  <si>
    <r>
      <t>m</t>
    </r>
    <r>
      <rPr>
        <vertAlign val="superscript"/>
        <sz val="10"/>
        <color theme="1"/>
        <rFont val="Arial"/>
        <family val="2"/>
        <charset val="238"/>
      </rPr>
      <t>1</t>
    </r>
  </si>
  <si>
    <t>*bočne strane glavnih nosača A, B i C</t>
  </si>
  <si>
    <t>*konzolna ploča</t>
  </si>
  <si>
    <t xml:space="preserve">Obračun po m1 uklonjenog betona </t>
  </si>
  <si>
    <t>131.5</t>
  </si>
  <si>
    <t>Površinsko uklanjanje betona, prosečne dubine 3,5cm</t>
  </si>
  <si>
    <t>*glavni podužni nosači u osama A, B i C</t>
  </si>
  <si>
    <r>
      <t>m</t>
    </r>
    <r>
      <rPr>
        <vertAlign val="superscript"/>
        <sz val="10"/>
        <rFont val="Arial"/>
        <family val="2"/>
        <charset val="238"/>
      </rPr>
      <t>2</t>
    </r>
  </si>
  <si>
    <t>*poprečni nosači</t>
  </si>
  <si>
    <t>*kolovozna ploča sa donje strane</t>
  </si>
  <si>
    <t>*ploča za prijem napona pritisaka</t>
  </si>
  <si>
    <t>Bušenje otvora u betonu za instalaciju atmosferske kanalizacije</t>
  </si>
  <si>
    <t>Obračun po broju otvora</t>
  </si>
  <si>
    <t>kom.</t>
  </si>
  <si>
    <t>*slivnici u AB kolovoznoj ploči</t>
  </si>
  <si>
    <r>
      <t>*kroz glavni AB nosač (</t>
    </r>
    <r>
      <rPr>
        <sz val="10"/>
        <color rgb="FF000000"/>
        <rFont val="Calibri"/>
        <family val="2"/>
        <charset val="238"/>
      </rPr>
      <t>Ø</t>
    </r>
    <r>
      <rPr>
        <sz val="10"/>
        <color rgb="FF000000"/>
        <rFont val="Arial"/>
        <family val="2"/>
        <charset val="238"/>
      </rPr>
      <t>250mm)</t>
    </r>
  </si>
  <si>
    <t>Peskarenje betonskih površina</t>
  </si>
  <si>
    <t>Priprema betonske površine i armature za nanošenje novog betonskog i malterskog sloja ili zaštitnog premaza suvim peskarenjem. Ovim radovima obuhvaćene su sve betonske površine sem donje strane glavnih podužnih nosača. U cenu uračunat sav materijal i rad.</t>
  </si>
  <si>
    <t>*gornja površina kolovozne ploče</t>
  </si>
  <si>
    <t>*krila i konzole pešačkih staza</t>
  </si>
  <si>
    <t>*parapet oporca</t>
  </si>
  <si>
    <t>*gornja površina ležišne grede na mestima novih AB kvadera</t>
  </si>
  <si>
    <t>Obračun po m2 izvedenih radova.</t>
  </si>
  <si>
    <t>Čišćеnjе pоvršinа vаzduhоm pоd pritiskоm</t>
  </si>
  <si>
    <t xml:space="preserve"> sve površine koje se premazuju SN vezom</t>
  </si>
  <si>
    <t>Obračun po m2 .</t>
  </si>
  <si>
    <t>Čišćenje armature peskarenjem</t>
  </si>
  <si>
    <t>*poprečni nosači u osama T2 i T5</t>
  </si>
  <si>
    <t>Pranje betonskih površina vodom pod pritiskom</t>
  </si>
  <si>
    <t xml:space="preserve">Pranje odštemovanih zona betona i armature od prašine, vodom pod pristiskom (cca 200 bara). Mlaz vode se usmerava pod uglom od 45 stepeni u odnosu na površinu betona, sa razdaljine od 5cm. </t>
  </si>
  <si>
    <t>*donje strane glavnih nosača A, B i C</t>
  </si>
  <si>
    <t>Premazivanje  betona SN vezom  (stari- novi beton)</t>
  </si>
  <si>
    <t>gornja površina kolovozne ploče</t>
  </si>
  <si>
    <t>Rušenje klatna-pendela</t>
  </si>
  <si>
    <t xml:space="preserve">Izmeštanje  instalacija  </t>
  </si>
  <si>
    <t>*Demontaža i ponovna montaža dva stuba javne rasvete sa svetiljkama, na mostu.</t>
  </si>
  <si>
    <t>UKUPNO PRIPREMNI RADOVI</t>
  </si>
  <si>
    <t>51_MO_200</t>
  </si>
  <si>
    <t>ZEMLJANI RADOVI</t>
  </si>
  <si>
    <t>Iskop zemlje u zaleđini obalnih stubova</t>
  </si>
  <si>
    <t>Iskop materijala II i III kategorije za izgradnju novih prelaznih ploča i šljunčanog klina</t>
  </si>
  <si>
    <t>Obračun po m3 iskopa.</t>
  </si>
  <si>
    <t>Izrаdа šlјunčаnоg klinа</t>
  </si>
  <si>
    <t>Obračun po m3 ugrađenog šljunka</t>
  </si>
  <si>
    <t>UKUPNO ZEMLJANI RADOVI</t>
  </si>
  <si>
    <t>51_MO_300</t>
  </si>
  <si>
    <t xml:space="preserve">  SKELE I OPLATE</t>
  </si>
  <si>
    <t>Montaža i demontaža viseće skele za sanaciju rasponske konstrukcije mosta</t>
  </si>
  <si>
    <t>Montaža i demontaža viseće skele  za radove u svemu po važećim propisima i merama HTZ-a, prema projektu skele koji obezbeđuje izvođač radova.  Skela mora biti statički stabilna, fiksirana i propisno uzemljena. Koristi se za se vreme trajanja radova na sanaciji rasponske konstrukcije. Za radove iznad železničke pruge obezbediti da deo viseće skele bude mobilan.</t>
  </si>
  <si>
    <r>
      <t>Obračun po 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površine pokrivene skelom.</t>
    </r>
  </si>
  <si>
    <t>Montaža i demontaža fasadne skele za sanaciju rasponske konstrukcije mosta</t>
  </si>
  <si>
    <t xml:space="preserve">Montaža i demontaža metalne fasadne skele  za radove u svemu po važećim propisima i merama HTZ-a.  Skela mora biti statički stabilna, fiksirana i propisno uzemljena. Koristi se za se vreme trajanja radova na sanaciji stubova mosta. </t>
  </si>
  <si>
    <r>
      <t>Obračun po 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vertikalne projekcije površine pokrivene skelom.</t>
    </r>
  </si>
  <si>
    <t>UKUPNO SKELE :</t>
  </si>
  <si>
    <t>51_MO_500</t>
  </si>
  <si>
    <t xml:space="preserve">  R A D O V I    O D   B E T O N A</t>
  </si>
  <si>
    <t>51_MO_510</t>
  </si>
  <si>
    <t xml:space="preserve"> RADOVI OD NEARMIRANOG BETONA</t>
  </si>
  <si>
    <t>Izravnavajući sloj betona ispod prelazne ploče</t>
  </si>
  <si>
    <t xml:space="preserve">Tampon od nearmiranog betona C12/15(MB 15) d=10 cm. </t>
  </si>
  <si>
    <t>Obračun po m2  ugrađenog betona.</t>
  </si>
  <si>
    <t>* kod FAS-a na ulazu</t>
  </si>
  <si>
    <t>**na prilazu mostu</t>
  </si>
  <si>
    <t>Obračun po m3  ugrađenog betona.</t>
  </si>
  <si>
    <t>51_MO_550</t>
  </si>
  <si>
    <t xml:space="preserve"> RADOVI OD ARMIRANOG BETONA</t>
  </si>
  <si>
    <r>
      <t>Rаspоnskа  kоnstrukciја  оbјеktа  оd  аrmirаnоg   bеtоnа</t>
    </r>
    <r>
      <rPr>
        <sz val="11"/>
        <color indexed="8"/>
        <rFont val="Arial"/>
        <family val="2"/>
      </rPr>
      <t xml:space="preserve"> </t>
    </r>
  </si>
  <si>
    <t>Betoniranje pešačkih staza i ivičnih venaca.</t>
  </si>
  <si>
    <t xml:space="preserve">*ugradnja ispune od stirobetona  težine 300kg/m3; 0,18m3/m1. </t>
  </si>
  <si>
    <t xml:space="preserve">*ugradnja armiranog betona staze:                                           C35/45  (MB 40), V - 6,   M - 150                               </t>
  </si>
  <si>
    <t>UKUPNO BETONSKI RADOVI:</t>
  </si>
  <si>
    <t>51_MO_600</t>
  </si>
  <si>
    <t>R A D O V I   O D   M E T A L A</t>
  </si>
  <si>
    <t>Nabavka, obrada, i ugradnja armature B500B za elemente konstrukcije mosta.</t>
  </si>
  <si>
    <t>Obračun po kg ugrađene armature</t>
  </si>
  <si>
    <t>kg</t>
  </si>
  <si>
    <t>Nabavka i ugradnja novih ležišta</t>
  </si>
  <si>
    <t>zamena pendela  neankerisanim elastomernim ležištima tip1 200*300*63</t>
  </si>
  <si>
    <t>Obračun po kom. ugrađenog  ležišta</t>
  </si>
  <si>
    <t>kom</t>
  </si>
  <si>
    <t xml:space="preserve">Nabavka i ugradnja slivnika </t>
  </si>
  <si>
    <t>480*300, nosivosti D400 sa izradom podloge od cementnog maltera za nivelaciju slivnika i ispunom od polimer betona u zoni slivnika.</t>
  </si>
  <si>
    <t>Obračun po kom. ugrađenog slivnika</t>
  </si>
  <si>
    <t>Čelične ograde na mostovima prema projektu</t>
  </si>
  <si>
    <t>670.3.</t>
  </si>
  <si>
    <t xml:space="preserve">ostale cevne ili od profila </t>
  </si>
  <si>
    <t>670.4</t>
  </si>
  <si>
    <t>Čelične pločice za zavarivanje ograde</t>
  </si>
  <si>
    <t>dimenzija 12x16cm, d=20mm, sa zavarenim ankerima 4Φ12. Stubići ograde su na  2.0m.</t>
  </si>
  <si>
    <t xml:space="preserve">Obračun po komadu pločice. </t>
  </si>
  <si>
    <t>UKUPNO  RADOVI OD METALA:</t>
  </si>
  <si>
    <t>51_MO_700</t>
  </si>
  <si>
    <t>ZAVRŠNI I OSTALI RADOVI</t>
  </si>
  <si>
    <t>Obračun po m' ugrađenih ivičnjaka.</t>
  </si>
  <si>
    <t>Obračun po m2 izvedene izolacije.</t>
  </si>
  <si>
    <t>Izrada poliuretanskog sloja sa posipom od kvarcnog peska</t>
  </si>
  <si>
    <t>Obračun po m2 izvedenog premaza</t>
  </si>
  <si>
    <t>Obračun po m2 ugrađenog asfalta.</t>
  </si>
  <si>
    <t>Ugrađivanje  PVC cevi  u  pešačke  (revizione) staze  prema  projektu</t>
  </si>
  <si>
    <t>1Ø160+4*Ø110+4*Ø160</t>
  </si>
  <si>
    <t>Obračun po m1 ugrađenih cevi.</t>
  </si>
  <si>
    <t>Podužna dilatacija između dva mosta prema detalju iz  projekta</t>
  </si>
  <si>
    <t>Ugrađivanje profilisane, neoprenske kompresovane  gume</t>
  </si>
  <si>
    <t>Obračun po m1 ugrađene gume</t>
  </si>
  <si>
    <t>Izrada i zatvaranje spojnica</t>
  </si>
  <si>
    <t>770.1</t>
  </si>
  <si>
    <t>Dilataciona razdelnica na pešačkoj stazi</t>
  </si>
  <si>
    <t>770.2</t>
  </si>
  <si>
    <t>Spојnicа uz ivičnjаkе sа gоrnjе strаnе</t>
  </si>
  <si>
    <t>Ugradnja "Denso" trake na spoju asfalta i ivičnjaka</t>
  </si>
  <si>
    <t>Obračun po m' ugrađene trake.</t>
  </si>
  <si>
    <t>Ugradnja asfaltnih dilatacija AD-50</t>
  </si>
  <si>
    <t>UKUPNO ZAVRŠNI I OSTALI RADOVI:</t>
  </si>
  <si>
    <t>51_MO_800</t>
  </si>
  <si>
    <t xml:space="preserve"> P O S E B N I  R A D O V I</t>
  </si>
  <si>
    <t>Postavljanje ankera sa zalivanjem rupa eksmalom</t>
  </si>
  <si>
    <t xml:space="preserve">Ugradnja ankera Ø14 za vezu novoprojektovanog betona sa postojećim elementima na mostu. Rupe za ankere su   Ø18. </t>
  </si>
  <si>
    <t>*na kolovoznoj ploči</t>
  </si>
  <si>
    <t>*kvaderi</t>
  </si>
  <si>
    <t>*parapet</t>
  </si>
  <si>
    <t xml:space="preserve">*krila </t>
  </si>
  <si>
    <t xml:space="preserve">Radovi na popravci i na AKZ zaštiti pešačke ograde mosta </t>
  </si>
  <si>
    <t>*popravka postojeće ograde</t>
  </si>
  <si>
    <t>*dodatni rukohvat -prema detalju u projektu</t>
  </si>
  <si>
    <t>Izrada kvadera ispod ležišta od betona MB40</t>
  </si>
  <si>
    <t>Izrada ab maski pored kvadera</t>
  </si>
  <si>
    <t>Reprofilacija lokalnih oštećenja obalnih stubova reparaturnim malterom RM1</t>
  </si>
  <si>
    <t xml:space="preserve">Nabavka reparaturnog  maltera (RM1) i reprofilisanje – popunjavanje lokalnih dubljih oštećenja prosečne dubine 10cm,  na prethodno pripremljenu površinu betona. Reparaturni malter se nanosi ručno, utiskivanjem u sloju debljine do 3cm. Ako je dubina odštemovane zone veća od 3cm, reparaturni malter naneti u više slojeva. Uz ivice elemenata koristiti jednostaranu oplatu. U cenu uračunata nabavka, transport i ugradnja materijala. </t>
  </si>
  <si>
    <t>Obračun po m2 malterisane površine.</t>
  </si>
  <si>
    <t xml:space="preserve">Postavljanje rabic mreže </t>
  </si>
  <si>
    <r>
      <t>Nabavka i postavljanje rabic mreže (okca 25x25mm) sa pričvršivanjem za betonsku podlogu ankerima (1kom/m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).</t>
    </r>
  </si>
  <si>
    <t>*kolovozna ploča (donja strana)</t>
  </si>
  <si>
    <t>Obračun po m2 pokrivene površine.</t>
  </si>
  <si>
    <t>Malterisanje površine obalnih stubova reparaturnim malterom RM2 debljine 3cm</t>
  </si>
  <si>
    <r>
      <t>Malterisanje površine betona reparaturnim  malterom (RM2) za izvođenje izravnavajućeg sloja. Reparaturni malter se nanosi mašinski</t>
    </r>
    <r>
      <rPr>
        <sz val="10"/>
        <rFont val="Arial"/>
        <family val="2"/>
        <charset val="238"/>
      </rPr>
      <t>m putem</t>
    </r>
    <r>
      <rPr>
        <sz val="10"/>
        <color theme="1"/>
        <rFont val="Arial"/>
        <family val="2"/>
        <charset val="238"/>
      </rPr>
      <t xml:space="preserve"> postupkom vlažnog prskanja u sloju prosečne debljine 3cm. Nakon nanošenja maltera, površina se poravnava gletericom ili letvom pomoću vođica i distancera. Po izvođenju radova potrebno je obezbediti odgovarajuću negu. U cenu su uračunati nabavka, transport, spravljanje, mašinsko malterisanje i ručno ravnanje.                                              * obalni stubovi</t>
    </r>
  </si>
  <si>
    <t>Reprofilacija lokalnih oštećenja reparaturnim malterom RM3</t>
  </si>
  <si>
    <t>*Ploča za prijem napona pritisaka</t>
  </si>
  <si>
    <t>Impregnacja betonskih površina sredstvom za impregnaciju IS1</t>
  </si>
  <si>
    <t xml:space="preserve">Nanošenje zaštitnog premaza ZP1 </t>
  </si>
  <si>
    <t>Nanošenje zaštitnog premaza ZP1 pomoću četke, valjaka ili opreme za raspršivanje pod niskim pritiskom u dva sloja, u svemu prema uputstvu poizvođača. U cenu uračunata nabavka , transport i ugradnja materijala. Prosečna potrošnja je  (0.15kg/m2+0.20kg/m2) = 0.35kg/m2.</t>
  </si>
  <si>
    <t>Zamena korodirale armature glavnih nosača</t>
  </si>
  <si>
    <t>*RØ32</t>
  </si>
  <si>
    <t>*RØ19</t>
  </si>
  <si>
    <t>*RØ10</t>
  </si>
  <si>
    <t>*L50x50x6</t>
  </si>
  <si>
    <t xml:space="preserve">Zaštita armature od korozije premazom P1 </t>
  </si>
  <si>
    <t>*bočne strane glavnih nosača u osama A, B i C</t>
  </si>
  <si>
    <t>*donje strane glavnih nosača u osama A, B i C</t>
  </si>
  <si>
    <t xml:space="preserve">*donja strana poprečnih nosača u osama T2 i T5 i lokalne zone na ostalim poprečnim nosačima 
</t>
  </si>
  <si>
    <t>*konzolna ploča sa donje strane</t>
  </si>
  <si>
    <t>Betoniranje novog zaštitnog sloja i nedostajućih delova preseka betonom pod pritiskom</t>
  </si>
  <si>
    <t xml:space="preserve">Betoniranje novog zaštitnog sloja i nedostajućih delova preseka glavnih nosača u osama "A" i "C", samougrađujućim (SCC) dvofrakcijskim (Dmax=8mm) betonom MB40 (beton B1), pod pritiskom. Oplatne ravni moraju biti od panela (nije dozvoljena daščana oplata), dobro zaptivene i pričvršćene kako bi izdržale sva opterećenja koja se javljaju prilikom betoniranja. U cenu ulaze rad, materijal, oprema, oplata, noseća konstrukcija oplate i nega betona. </t>
  </si>
  <si>
    <t>Obračun po m3 ugrađenog betona.</t>
  </si>
  <si>
    <t>Betoniranje novog zaštitnog sloja i nedostajućih delova preseka nalivanjem</t>
  </si>
  <si>
    <t>*glavni nosači</t>
  </si>
  <si>
    <t>Izvođenje novog zaštitnog sloja i nedostajućih delova preseka reparaturnim malterom RM3</t>
  </si>
  <si>
    <t>*glavni nosači u osama A, B i C, debljina 3,5cm</t>
  </si>
  <si>
    <t>*poprečni nosači, debljina 2,5cm</t>
  </si>
  <si>
    <t>*kolovozna ploča, debljina 2,5cm</t>
  </si>
  <si>
    <t>*konzolna ploča, debljina 2,5 cm</t>
  </si>
  <si>
    <t>Ojačanje glavnih nosača CFRP laminatima</t>
  </si>
  <si>
    <r>
      <t>Ojačanje glavnih nosača lepljenjem karbonskih traka površine poprečnog preseka 140mm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. Površinu na koju se nanosi lepak je potrebno prethodno očistiti, odmastiti i otprašiti. U cenu ulaze nabavka i ugradnja lepka i karbonskih traka.</t>
    </r>
  </si>
  <si>
    <r>
      <t>Obračun po m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karbonske trake</t>
    </r>
  </si>
  <si>
    <t>*dobetoniranje krila i konzola pešačkih staza  d=10cm zbog uklapanja na mostu</t>
  </si>
  <si>
    <t>*kratki element prelazne ploče i parapet</t>
  </si>
  <si>
    <t>*prelazna ploča</t>
  </si>
  <si>
    <t>Nabavka, montaža i demontaža hidrauličkih presa za odizanje konstrukcije prilikom sanacija</t>
  </si>
  <si>
    <t>Potrebne prese su  minimalnog kapaciteta 2 kom od 50 tona i 
od 2 kom od 20 tona</t>
  </si>
  <si>
    <t xml:space="preserve">Potrebna zauzetost- 3 dana prilikom uklanjanja pendela + 2 dana za postavljanje novih ležišta </t>
  </si>
  <si>
    <t>Obračun po presi / dan</t>
  </si>
  <si>
    <t>dana</t>
  </si>
  <si>
    <t>Čišćеnје  i  pоprаvkа  kеgli</t>
  </si>
  <si>
    <t>Procenjena površina kegli koju je potrebno presložiti i obložiti ~250m2</t>
  </si>
  <si>
    <t>Obračun po m2 izvršenog rada.</t>
  </si>
  <si>
    <t>Izrada projekta izvedenog stanja</t>
  </si>
  <si>
    <t>Paušalno</t>
  </si>
  <si>
    <t>Probno opterećenje</t>
  </si>
  <si>
    <t>UKUPNO POSEBNI RADOVI:</t>
  </si>
  <si>
    <t>UKUPNO SVI RADOVI:</t>
  </si>
  <si>
    <r>
      <t xml:space="preserve">76.25 </t>
    </r>
    <r>
      <rPr>
        <sz val="10"/>
        <rFont val="Calibri"/>
        <family val="2"/>
      </rPr>
      <t>·</t>
    </r>
    <r>
      <rPr>
        <sz val="10"/>
        <rFont val="Arial"/>
        <family val="2"/>
      </rPr>
      <t xml:space="preserve"> 6.4</t>
    </r>
  </si>
  <si>
    <r>
      <t xml:space="preserve">76.25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6.4</t>
    </r>
  </si>
  <si>
    <t>2*(76.25+4.65)</t>
  </si>
  <si>
    <t xml:space="preserve"> </t>
  </si>
  <si>
    <t>6 · 0.25 · 0.6 · 0.4</t>
  </si>
  <si>
    <r>
      <t xml:space="preserve">2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9</t>
    </r>
  </si>
  <si>
    <r>
      <t xml:space="preserve">2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85.6</t>
    </r>
  </si>
  <si>
    <t>2 · 0.43 · 85.6</t>
  </si>
  <si>
    <t>2 · 0.57 · 0.45 · 6.4</t>
  </si>
  <si>
    <t>1.15 · 0.84 · 0.1</t>
  </si>
  <si>
    <t>( 1 · 0.5+0.5 · 3.5 ) · 0.1 +8 · 0.15 · 0.15</t>
  </si>
  <si>
    <t>4+3</t>
  </si>
  <si>
    <r>
      <t xml:space="preserve">45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3</t>
    </r>
  </si>
  <si>
    <t>1· 75 · 2</t>
  </si>
  <si>
    <t>0.4 · 75.4 · 3</t>
  </si>
  <si>
    <t>2 · 2.6 · 0.25 · 2+0.4 · 2.6 · 2 · 3+1.3 · 0.25 · 3</t>
  </si>
  <si>
    <t>4+2+1+1+1+3+2+1+3+2</t>
  </si>
  <si>
    <r>
      <t xml:space="preserve">4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1.25</t>
    </r>
  </si>
  <si>
    <r>
      <t xml:space="preserve">8.5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76.5</t>
    </r>
  </si>
  <si>
    <r>
      <t xml:space="preserve">4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4.65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1.55</t>
    </r>
  </si>
  <si>
    <r>
      <t xml:space="preserve">2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0.5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6.4</t>
    </r>
  </si>
  <si>
    <t>1 · 1.15+2 · 1.1 · 1.15</t>
  </si>
  <si>
    <r>
      <t xml:space="preserve">4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8 + 3.5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8</t>
    </r>
  </si>
  <si>
    <t>(5.8 · 6.7 · 2+0.8 · 6.7 · 2)+(5.8· 5.7· 2+0.8 · 5.7 · 2)</t>
  </si>
  <si>
    <t>165+172.2+165</t>
  </si>
  <si>
    <t>1.06 · 2.6 · 2 · 2 · 12+2.6 · 0.25 · 2 · 7</t>
  </si>
  <si>
    <r>
      <t xml:space="preserve">5.2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2.6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16+6.5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2.6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8</t>
    </r>
  </si>
  <si>
    <t>((( 4.6+3.3) · 0.5 · 1.3 · 2 · 4 + ( 4.1 + 2.8 ) · 0.5 · 1.3 · 2 · 4 ) · 2</t>
  </si>
  <si>
    <r>
      <t xml:space="preserve">75.4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1.0305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2</t>
    </r>
  </si>
  <si>
    <t>75.4 · 1.0305 · 2</t>
  </si>
  <si>
    <t>8.5 · 76.25</t>
  </si>
  <si>
    <r>
      <t xml:space="preserve">75.4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0.4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3</t>
    </r>
  </si>
  <si>
    <r>
      <t xml:space="preserve">2.6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0.25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2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2</t>
    </r>
  </si>
  <si>
    <r>
      <t xml:space="preserve">4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8+3.5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8</t>
    </r>
  </si>
  <si>
    <t>( 5.8 · 6.7 · 2+0.8 · 6.7 · 2 ) + ( 5.8 · 5.7 · 2+0.8 · 5.7 · 2)</t>
  </si>
  <si>
    <t>1.06 · 2.6 · 2 · 2 · 12+2.6 · 0.25 · 2 · 9</t>
  </si>
  <si>
    <t>5.2 · 2.6 · 16+6.5 · 2.6 · 8</t>
  </si>
  <si>
    <r>
      <t xml:space="preserve">((4.6+3.3)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0.5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1.3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2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4 + ( 4.1+2.8)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0.5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1.3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2 </t>
    </r>
    <r>
      <rPr>
        <sz val="10"/>
        <color indexed="8"/>
        <rFont val="Calibri"/>
        <family val="2"/>
      </rPr>
      <t xml:space="preserve">· </t>
    </r>
    <r>
      <rPr>
        <sz val="10"/>
        <color indexed="8"/>
        <rFont val="Arial"/>
        <family val="2"/>
      </rPr>
      <t xml:space="preserve">4 )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2</t>
    </r>
  </si>
  <si>
    <r>
      <t xml:space="preserve">8.5 </t>
    </r>
    <r>
      <rPr>
        <sz val="10"/>
        <rFont val="Calibri"/>
        <family val="2"/>
      </rPr>
      <t>·</t>
    </r>
    <r>
      <rPr>
        <sz val="10"/>
        <rFont val="Arial"/>
        <family val="2"/>
      </rPr>
      <t xml:space="preserve"> 76.25</t>
    </r>
  </si>
  <si>
    <r>
      <t xml:space="preserve">0.3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0.4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0.84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3</t>
    </r>
  </si>
  <si>
    <r>
      <t xml:space="preserve">2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6.4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3.8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4</t>
    </r>
  </si>
  <si>
    <t>2 · 6.4 · 3.8 · 4</t>
  </si>
  <si>
    <r>
      <t xml:space="preserve">75.4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9</t>
    </r>
  </si>
  <si>
    <t>4 · 8+3.5 · 8 + ( 5.8 · 6.7 · 2+0.8 · 6.7 · 2) + (5.8 · 5.7 · 2+0.8 · 5.7 · 2 )</t>
  </si>
  <si>
    <t>2 · 3.6 · 6.3</t>
  </si>
  <si>
    <r>
      <t xml:space="preserve">76.2*(2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1.45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0.125+5.6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0.1)</t>
    </r>
  </si>
  <si>
    <t>85.6*(0.25+0.27)</t>
  </si>
  <si>
    <t>85.6*(0.17+0.18)</t>
  </si>
  <si>
    <r>
      <t xml:space="preserve">76.25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8.5 </t>
    </r>
  </si>
  <si>
    <r>
      <t xml:space="preserve">2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85.6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2.2</t>
    </r>
  </si>
  <si>
    <r>
      <t xml:space="preserve">5.9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76.25</t>
    </r>
  </si>
  <si>
    <r>
      <t xml:space="preserve">9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85.6</t>
    </r>
  </si>
  <si>
    <r>
      <t xml:space="preserve">2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7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1.55</t>
    </r>
  </si>
  <si>
    <t>0.48 · 1.15 * ( 2 · 1.1 +1)+2 · 0.5 · 0.5 · 0.3</t>
  </si>
  <si>
    <r>
      <t xml:space="preserve">2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0.2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1.9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1.15</t>
    </r>
  </si>
  <si>
    <t>( 1 · 0.5+0.5 · 3.5) + 8 · 0.225</t>
  </si>
  <si>
    <r>
      <t xml:space="preserve">4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8+3.5</t>
    </r>
  </si>
  <si>
    <r>
      <t xml:space="preserve">5.2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2.6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7</t>
    </r>
  </si>
  <si>
    <r>
      <t xml:space="preserve">7 </t>
    </r>
    <r>
      <rPr>
        <sz val="10"/>
        <color indexed="8"/>
        <rFont val="Calibri"/>
        <family val="2"/>
      </rPr>
      <t>·</t>
    </r>
    <r>
      <rPr>
        <sz val="10"/>
        <color indexed="8"/>
        <rFont val="Arial"/>
        <family val="2"/>
      </rPr>
      <t xml:space="preserve"> 0.1</t>
    </r>
  </si>
  <si>
    <r>
      <t xml:space="preserve">4 </t>
    </r>
    <r>
      <rPr>
        <sz val="10"/>
        <color indexed="8"/>
        <rFont val="Calibri"/>
        <family val="2"/>
      </rPr>
      <t xml:space="preserve">· </t>
    </r>
    <r>
      <rPr>
        <sz val="10"/>
        <color indexed="8"/>
        <rFont val="Arial"/>
        <family val="2"/>
      </rPr>
      <t>1.25</t>
    </r>
  </si>
  <si>
    <t>5.8 · 6.7 · 2+0.8 · 6.7 · 2+5.8 · 5.7 · 2+0.8 · 5.7 · 2</t>
  </si>
  <si>
    <t>5.2 · 2.6 · 9+6.5 · 2.6 · 8</t>
  </si>
  <si>
    <t>((4.6+3.3) · 0.5 · 1.3 · 2 · 4+(4.1+2.8) · 0.5 · 1.3 · 2 · 4) · 2</t>
  </si>
  <si>
    <t>56.7 · 6.47</t>
  </si>
  <si>
    <t>8.9 · 2.29</t>
  </si>
  <si>
    <t>217.5 · 0.64</t>
  </si>
  <si>
    <t>8.93 · 4.47</t>
  </si>
  <si>
    <t>7 · 0.1</t>
  </si>
  <si>
    <t>135 · 0.07</t>
  </si>
  <si>
    <t>75.4 · 0.4 · 3</t>
  </si>
  <si>
    <t>(2 · 2.6 · 0.25) · 2+14 · 0.25 · 3 · 2+7 · 0.5 · 3</t>
  </si>
  <si>
    <t>(4+2+1+1+1+3+2+1+3+2) · 0.5</t>
  </si>
  <si>
    <t>1 · 75.4 · 2 · 0.05</t>
  </si>
  <si>
    <t>5 · 0.5</t>
  </si>
  <si>
    <t>(3.1+4.3+4.3+5.9+5.9+3.2+3.5)*(0.4 · 0.12+2 · 1.185 · 0.035)</t>
  </si>
  <si>
    <t>(75.4 · 2-30) · 0.035-52.2 · 0.4 · 0.035+75.4 · 0.035</t>
  </si>
  <si>
    <t>(0.25 · 0.05+0.15 · 0.035 · 2) · 2.6 · 2 · 2</t>
  </si>
  <si>
    <t>(2 · 82.4 · 2-30 · 1 · 2)+86.1 · 2+52.2 · 0.4</t>
  </si>
  <si>
    <t>5.2 · 2.6 · 7</t>
  </si>
  <si>
    <t>13.8 · 2+7.5 · 21+8.3 · 1</t>
  </si>
  <si>
    <t>4 · 4.65 · 1.55 · 0.1</t>
  </si>
  <si>
    <t>2 · 0.44 · 6.4</t>
  </si>
  <si>
    <t>2 · 1 · 6.4</t>
  </si>
  <si>
    <t>PEŠAČKI MOST</t>
  </si>
  <si>
    <t>PREDMER  RADOVA</t>
  </si>
  <si>
    <t>Postavljanje odgovarajuće saobraćajne signalizacije i opreme kojom će se obezbediti radovi na sanaciji mosta i i izrada Projekta privremene saobraćajne signalizacije</t>
  </si>
  <si>
    <t>u toku izvođenja radova. Ova pozicija obuhvata neophodna geodetska merenja radi nivelacije elememata kod izrade predviđenih pozicija radova i iizradu svih potrebnih Elaborata geodetskih radova za sve izvedene radove (Elaborati potrebni za dobijanje upotrebne dozvole)</t>
  </si>
  <si>
    <t xml:space="preserve"> na oba kraja mosta u dužini 4.3m </t>
  </si>
  <si>
    <t>Obračun po m uklonjene ograde</t>
  </si>
  <si>
    <t>*rečni stub u osi "2"</t>
  </si>
  <si>
    <t>*kratki elementi</t>
  </si>
  <si>
    <t xml:space="preserve">Uklanjanje betona štemovanjem </t>
  </si>
  <si>
    <t>*rečni stub u osi "1"</t>
  </si>
  <si>
    <t>Linijsko uklanjanje betona, prosečne dubine 5cm</t>
  </si>
  <si>
    <t xml:space="preserve">Uklanjanje betona ručno ili pikhamerima radi formiranja šlica za smeštaj dodatne armature kratkih elemenata dimenzija 4x5cm. Šut prikupiti, utovariti na kamion i odneti na gradsku deponiju. </t>
  </si>
  <si>
    <t>*bočna strana kratkih elemenati na rečnim stubovima</t>
  </si>
  <si>
    <t>*rečni stubovi zajedno sa kratkim elementima</t>
  </si>
  <si>
    <t>Obračun po m2 površine pokrivene skelom.</t>
  </si>
  <si>
    <t>Montaža i demontaža fasadne skele za sanaciju stubova mosta</t>
  </si>
  <si>
    <t>Montaža i demontaža privremenih oslonaca za sanaciju rasponske konstrukcije pešačkog mosta</t>
  </si>
  <si>
    <t>Jaram postaviti van ose postojećih stubova mosta i osloniti na svoj temelj. Visinu stubova jarma odrediti na licu mesta nakon iskopa i izvođenja temelja za jarmove. Obaveza izvođača je da  prilagodi jaram svojim materijalima i sredstvima tako da zadovolji nosivost od 200kN, te u svemu po važećim propisima i merama HTZ-a. Konstrukcija jarma i  njegovi temelji ne smeju da zadiru u železnički profil.  Jaram se mora obavezno uzemljiti. Koristi se za vreme trajanja radova na sanaciji čelične konstrukcije mosta. Uklanjaju se nakon očvršćavanja betona kolovozne ploče.</t>
  </si>
  <si>
    <t>2 jarma ~6.5m +2x~8.5m</t>
  </si>
  <si>
    <t>Procenjena vrednost po jarmu</t>
  </si>
  <si>
    <t>553.1</t>
  </si>
  <si>
    <t>Glаvni plоčаsti nоsаč оd аrmirаnоg bеtоnа- spregnuta konstrukcija. d=12cm C35/45( MБ 45) ;   М-150;   М+S=2</t>
  </si>
  <si>
    <t xml:space="preserve">Izrada armiranobetonskih parapetnih venaca.
Beton MB 45 (C35/45);   M-150;   M+S=1;   </t>
  </si>
  <si>
    <t>Zamena ležišta</t>
  </si>
  <si>
    <t>Uklanjanje postojećih ležišta sa odvoženjem na deponiju</t>
  </si>
  <si>
    <t>usvojeni moždanici d/h=19/80mm</t>
  </si>
  <si>
    <t>Obračun po kom ugrađenih moždanika</t>
  </si>
  <si>
    <t>Radovi na ojačanju  čelične konstrukcije</t>
  </si>
  <si>
    <t>Obračun po kg ugrađenog čelika</t>
  </si>
  <si>
    <t>Slivnik Tip S-13 za pešački i biciklistički saobraćaj, ima malu debljinu i težinu</t>
  </si>
  <si>
    <t xml:space="preserve">  Z A V R Š N I   I   O S T A L  I    R A D O V I</t>
  </si>
  <si>
    <t>Izrada hidroizolacije kolovozne ploče metil - metakrilatom
(MMA ).Premaz prajmerom.</t>
  </si>
  <si>
    <t xml:space="preserve">Obračun po m2 gotove izolacije. </t>
  </si>
  <si>
    <t xml:space="preserve">Izrada poliuretanskog sloja sa kvarcnim posipom </t>
  </si>
  <si>
    <t>ploča mosta</t>
  </si>
  <si>
    <t>Obračun po m2 izvedenog premaza.</t>
  </si>
  <si>
    <t>Obnova AKZ zaštite mosta</t>
  </si>
  <si>
    <t>Obnova spoljne AKZ zaštite mosta min debljine 250mikrona</t>
  </si>
  <si>
    <t xml:space="preserve">Nabavka i montaža  dilatacionih spojnica
</t>
  </si>
  <si>
    <t>Ugradnja  MA -60</t>
  </si>
  <si>
    <t>Obračunava se po m1 ugrađene dilatacije</t>
  </si>
  <si>
    <t xml:space="preserve">Izrada ab ispune dilatacije I dobetoniranje parapeta </t>
  </si>
  <si>
    <t>Beton MB 40 (C30/37), V12, M150, M+S=1</t>
  </si>
  <si>
    <t>Postavljanje ankera sa zalivanjem rupa ekspandirajućim malterom</t>
  </si>
  <si>
    <t xml:space="preserve">Ugradnja ankera Ø16 za sanaciju kratkih elemenata stubova. Rupe za ankere su   Ø18. </t>
  </si>
  <si>
    <t>ankeri za sanaciju kratkih elemenata stubova</t>
  </si>
  <si>
    <t>Nabavka reparaturnog  maltera (RM1) i reprofilisanje – popunjavanje lokalnih oštećenja prosečne dubine 4cm,  na prethodno pripremljenu površinu betona. Reparaturni malter se nanosi ručno, utiskivanjem u sloju debljine do 3cm. Ako je dubina odštemovane zone veća od 3cm, reparaturni malter naneti u više slojeva. Uz ivice elemenata koristiti jednostaranu oplatu. U cenu uračunata nabavka, transport i ugradnja materijala.                    
*obalni stubovi</t>
  </si>
  <si>
    <r>
      <t>Impregnacja betonskih površina sredstvom za impregnaciju IS1 u dva sloja, pomoću četke, valjaka ili opreme za raspršivanje pod niskim pritiskom, u svemu prema uputstvu poizvođača. U cenu uračunata nabavka, transport i ugradnja materijala. Prosečna potrošnja je 0.4kg/m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(0,2kg/m2 po jednom sloju)</t>
    </r>
  </si>
  <si>
    <r>
      <t>Premazivanje „otkrivenih“ šipki armature sredstvom za antikorozionu zašitu (premaz P1) i obezbeđenje bolje prionljivosti, nanošenjem četkom u dva sloja, na pripremljenu površinu šipki armature (pocenjena potrošnja 1,5kg/mm/m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za jedan sloj)</t>
    </r>
  </si>
  <si>
    <t>*kratki elementi na rečnim stubovima</t>
  </si>
  <si>
    <t>Betoniranje nedostajućeg delova preseka nalivanjem u oplati</t>
  </si>
  <si>
    <t xml:space="preserve">Betoniranje nedostajućih delova preseka rečnog stuba u osi "1" (odštemovana zona) i kratkih elemenata oba rečna stuba tadi pojačavanja kratkih elemenata, samougrađujućim (SCC) trofrakcijskim (Dmax=16mm) betonom MB40 (beton B2), nalivanjem. Oplatne ravni moraju biti od panela (nije dozoljena daščana oplata). U cenu ulaze rad, materijal, oprema, oplata, noseća konstrukcija oplate i nega betona. </t>
  </si>
  <si>
    <t>Potrebna presa je  minimalnog kapaciteta 10 tona - 12kom</t>
  </si>
  <si>
    <t xml:space="preserve">Potrebna zauzetost- 2 dana prilikom uklanjanja ležišta + 1 dan za postavljanje novih ležišta </t>
  </si>
  <si>
    <t>dan</t>
  </si>
  <si>
    <t>Procenjena površina kegli koju je potrebno presložiti i obložiti ~50m2</t>
  </si>
  <si>
    <t>PREDMER RADOVA UKLAPANJA MOSTA U POSTOJEĆE STANJE</t>
  </si>
  <si>
    <t>Iznos bez PDV-a</t>
  </si>
  <si>
    <t>11_GR_100. PRIPREMNI RADOVI</t>
  </si>
  <si>
    <t>100.1</t>
  </si>
  <si>
    <t>Skidanje sloja asfalta glodalicom od 0-10cm (prosečno d=5cm) sa direktnim utovarom materijala u kamion i odvozom materijala na deponiju</t>
  </si>
  <si>
    <t>100.2</t>
  </si>
  <si>
    <t>Izrada spojnice od specijalne dilatacione trake</t>
  </si>
  <si>
    <t>m</t>
  </si>
  <si>
    <t>UKUPNO PRIPREMNI RADOVI:</t>
  </si>
  <si>
    <t>11_GR_300. KOLOVOZNA KONSTRUKCIJA</t>
  </si>
  <si>
    <t>300.1</t>
  </si>
  <si>
    <t>Izrada donjeg nosećeg sloja od DKA 0/63
P=28m2, V=28m2*0.25cm=7m3</t>
  </si>
  <si>
    <t>300.2</t>
  </si>
  <si>
    <t>Izrada donjeg nosećeg sloja od DKA 0/31.5
P=55m2, V=55m2*0.15cm=8.25m3</t>
  </si>
  <si>
    <t>300.3</t>
  </si>
  <si>
    <t>Izrada bitumen.nosivog sloja BNS 22  d = 6cm           P=207m2, V=207m2*0.06cm=12.5m3</t>
  </si>
  <si>
    <t>300.4</t>
  </si>
  <si>
    <t>Izrada habajućeg sloja od asfalt betona AB11 d = 4cm                     P=207m2, V=207m2*0.04cm=8.5m3</t>
  </si>
  <si>
    <t>UKUPNO KOLOVOZNA KONSTRUKCIJA:</t>
  </si>
  <si>
    <t>UKUPNO TRASA:</t>
  </si>
  <si>
    <t>Napomena : Obračun se odnosi na uklapanje oba mosta -  drumski i pešački most</t>
  </si>
  <si>
    <t>REKAPITULACIJA</t>
  </si>
  <si>
    <t>VRSTA RADOVA</t>
  </si>
  <si>
    <t>Iznos (RSD)</t>
  </si>
  <si>
    <t>REKAPITULACIJA PREDMERA I PREDRAČUNA RADOVA ZA DRUMSKI MOST</t>
  </si>
  <si>
    <t>PRIPREMNI RADOVI</t>
  </si>
  <si>
    <t>ZEMLjANI RADOVI</t>
  </si>
  <si>
    <t>SKELE I OPLATE</t>
  </si>
  <si>
    <t>RADOVI OD BETONA</t>
  </si>
  <si>
    <t>RADOVI OD METALA</t>
  </si>
  <si>
    <t>POSEBNI RADOVI</t>
  </si>
  <si>
    <t>UKUPNO:</t>
  </si>
  <si>
    <t>REKAPITULACIJA PREDMERA I PREDRAČUNA RADOVA ZA PEŠAČKI MOST</t>
  </si>
  <si>
    <t>PREDRAČUN RADOVA UKLAPANJA MOSTA U POSTOJEĆE STANJE</t>
  </si>
  <si>
    <t>11 GR 100</t>
  </si>
  <si>
    <t>11 GR 300</t>
  </si>
  <si>
    <t xml:space="preserve">KOLOVOZNA KONSTRUKCIJA </t>
  </si>
  <si>
    <t>UKUPNO (BEZ PDV-A)</t>
  </si>
  <si>
    <t>UKUPNO (SA PDV-OM)</t>
  </si>
  <si>
    <t>2 · 4.3</t>
  </si>
  <si>
    <t>1 · 85.6</t>
  </si>
  <si>
    <t>(0.1+0.02) · 4.3 · 76.2</t>
  </si>
  <si>
    <t>(1+0.5+0.5+0.5+0.5+1) · 0.04</t>
  </si>
  <si>
    <t>0.5 · 0.5+0.5 · 0.4 · 0.1 · 0.5</t>
  </si>
  <si>
    <t>0.171 · 0.8 · 2</t>
  </si>
  <si>
    <t>0.2 · 0.4 · 3</t>
  </si>
  <si>
    <t>4 · 1.81 · 2</t>
  </si>
  <si>
    <t>4 · 8+3.5 · 8</t>
  </si>
  <si>
    <t>(1.4 · 2+0.8 · 2) · 7.55 · 2+(1.21 · 2+4.18 · 0.8) · 2</t>
  </si>
  <si>
    <t>4.3 · 6+4.3 · 5+(0.8+1.4) · 7.55 · 2 · 2</t>
  </si>
  <si>
    <t>76.2 · 0.486</t>
  </si>
  <si>
    <t>85.6 · 2 · 0.035</t>
  </si>
  <si>
    <t>76.2 · 4.05</t>
  </si>
  <si>
    <t>76.2 · 3.75</t>
  </si>
  <si>
    <t>1+0.5+0.5+0.5+0.5+1</t>
  </si>
  <si>
    <t>(1.4 · 2+0.8 · 2) · 7.55 · 2+(0.6 · 0.3+0.6 · 1) · 2 · 2</t>
  </si>
  <si>
    <t>4.3 · 6+4.3 · 5</t>
  </si>
  <si>
    <t>(0.2+0.4) · 3+0.2 · 0.2</t>
  </si>
  <si>
    <t>((0.29+0.58) · 0.8 · 2) · 2</t>
  </si>
  <si>
    <t>(0.372 · 0.8+2 · 1.71 · 0.03+4 · 1.81 · 0.06 · 0.01) · 2</t>
  </si>
  <si>
    <t xml:space="preserve">*ugradnja armiranog betona ploče:                                           C30/37  (MB 35),                                </t>
  </si>
  <si>
    <t>2x6.4</t>
  </si>
  <si>
    <t xml:space="preserve">Betoniranje prelazne ploče  </t>
  </si>
  <si>
    <t xml:space="preserve"> Hidroizolacija gornje površine kolovozne ploče (polimer bitumenskom trakom d=5mm, sa uloškom od poliesterkog filca -prema standardu SRPS U.M3.304:2013; prvo se nanosi bitumenski predhodni premaz (SRPS U.M3.240:1989</t>
  </si>
  <si>
    <t>obostranih pešačkih staza u širini 1.55m i ivičnog venca po celoj dužini mosta. (1. sloj prajmer, 2. sloj dvokomponentna PUR smola, 3. sloj -završni dvokomponentna PUR smola koja se koristi kao zaptivni, UV otporni završni sloj koji ne propušta vodu</t>
  </si>
  <si>
    <t>Izrada kolovoznog zastora od asfalt betona debljine 9cm u dva sloja (5+4 cm) AB 8+AB11s</t>
  </si>
  <si>
    <t>Nabavka reparaturnog  maltera (RM3) i reprofilisanje – popunjavanje lokalnih dubljih oštećenja  na prethodno pripremljenu površinu betona. Reparaturni malter se nanosi ručno, utiskivanjemm u sloju debljine do 3cm. Ako je dubina odštemovane zone veća od 3cm, reparaturni malter naneti u više slojeva.  Uz ivice elemenata koristiti jednostaranu oplatu. U cenu uračunata nabavka, transport i ugradnja materijala.
Obračun po m2 pokrivene površine.</t>
  </si>
  <si>
    <t>Nanošenje zaštitnog premaza ZP1 pomoću četke, valjaka ili opreme za raspršivanje pod niskim pritiskom u dva sloja, u svemu prema uputstvu poizvođača. U cenu uračunata nabavka , transport i ugradnja materijala. Prosečna potrošnja je  (0.15kg/m2+0.20kg/m2) = 0.35kg/m2. Obračun po m2 pokrivene površine.</t>
  </si>
  <si>
    <r>
      <t>Zamena korodirale armature glavnih podužnih nosača prema tehničkom opisu. Ovom aktivnošću obuhvaćeno  je isecanje  postojećih šipki armature, uzengija i zmijaste armature i nastavljanje šipki podužne armature novom armaturom R</t>
    </r>
    <r>
      <rPr>
        <sz val="10"/>
        <color theme="1"/>
        <rFont val="Calibri"/>
        <family val="2"/>
        <charset val="238"/>
      </rPr>
      <t>Ø</t>
    </r>
    <r>
      <rPr>
        <sz val="10"/>
        <color theme="1"/>
        <rFont val="Arial"/>
        <family val="2"/>
        <charset val="238"/>
      </rPr>
      <t>32 pomoću podvezica RØ19 i L50x50x6 i uzengija zavarivanjem novih šipki RØ10  na preklop. U cenu ulaze nabavka, priprema materijala i rad.
Obračun po kg čelika.</t>
    </r>
  </si>
  <si>
    <r>
      <t>Impregnacja betonskih površina sredstvom za impregnaciju IS1 u dva sloja, pomoću četke, valjaka ili opreme za raspršivanje pod niskim pritiskom, u svemu prema uputstvu poizvođača. U cenu uračunata nabavka, transport i ugradnja materijala. Prosečna potrošnja je 0.4kg/m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(0,2kg/m2 po jednom sloju)
Obračun po m2 pokrivene površine</t>
    </r>
  </si>
  <si>
    <r>
      <t>Premazivanje „otkrivenih“ šipki armature sredstvom za antikorozionu zašitu (premaz P1) i obezbeđenje bolje prionljivosti, nanošenjem četkom u dva sloja, na pripremljenu površinu šipki armature (pocenjena potrošnja 1,5kg/mm/m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 xml:space="preserve">za jedan sloj)
Obračun po m2 premaza.
</t>
    </r>
  </si>
  <si>
    <t>Izvođenje novog zaštitnog sloja i nedostajućih delova preseka reparaturnim malterom (RM3), mašinskim malterisanjem i  lokalna reprofilacija ručnim malterisanjem istim malterom. U cenu ulaze rad, materijal, oplata, noseća konstrukcija oplate i nega matera. 
Obračun po m2 omalterisane površine</t>
  </si>
  <si>
    <t xml:space="preserve">Dobetoniranje/Betoniranje na licu mesta delova krila, obalnih stubova i prelaznih ploča
Obračun po m3  ugrađenog betona. </t>
  </si>
  <si>
    <t>Priprema betonske površine i armature za nanošenje novog betonskog i malterskog sloja ili zaštitnog premaza suvim peskarenjem. Ovim radovima obuhvaćene su sve betonske površine sem donje strane glavnih podužnih nosača. U cenu uračunat sav materijal i rad. Obračun po m2</t>
  </si>
  <si>
    <t>Uklanjanje betona sa donje strane glavnih nosača i poprečnih nosača (na celoj dužini u osama 0, T2,  2,  T5 i 3 i na pola dužine u osama T1, T8 i T9) ,  oko korodiralih šipki armature, uključujući i zone sa ispucalim betonom, ručno (štemanjem) ili mašinskim putem (pikhamerima do 6kg). Dubina uklonjenog sloja betona zavisi od očuvanosti athezije između armature i betona i od stepena korozije armature. Šut prikupiti, utovariti na kamion i odneti na gradsku deponiju. Obračun po m2 uklonjenog betona</t>
  </si>
  <si>
    <t>Čišćenje armature glavnih nosača  i dva poprečna nosača u osama T2 i T5, mokrim ili suvim peskarenjem sa donje strane, uz dodatno lokalno čišćenje žičanim četkama, do „metalnog sjaja“.  U cenu uračunat materijal i rad. Obračun po m2</t>
  </si>
  <si>
    <t xml:space="preserve">Pranje odštemovanih zona betona i armature od prašine, vodom pod pristiskom (cca 200 bara). Mlaz vode se usmerava pod uglom od 45 stepeni u odnosu na površinu betona, sa razdaljine od 5cm. Obračun po m2 </t>
  </si>
  <si>
    <t>Nabavka, transport i ugradnja šljunka prirodne mešavine sa zbijanjem do potrebne zbijenosti 70 Mpa najviši sloj</t>
  </si>
  <si>
    <t xml:space="preserve">Izrada prelazne pešačke rampe na bankini 
Obračun po m3  ugrađenog betona.
</t>
  </si>
  <si>
    <t>Betoniranje novog zaštitnog sloja i nedostajućih delova preseka glavnih nosača i dva sekundarna nosača (nosači u osama T2 i T5) samougrađujućim (SCC) dvofrakcijski (Dmax=8mm) betonom MB40 (beton B1), nalivanjem. Oplatne ravni moraju biti od panela (nije dozoljena daščana oplata). U cenu ulaze rad, materijal, oprema, oplata, noseća konstrukcija oplate i nega betona
. Obračun po m3 ugrađenog betona.</t>
  </si>
  <si>
    <t xml:space="preserve">Rušenje i uklanjanje kolovoznih  konstrukcija </t>
  </si>
  <si>
    <t xml:space="preserve">Uklanjanje  šuta sa odvozom na gradsku deponiju, raznog otpada, šiblja i granja </t>
  </si>
  <si>
    <t>Uklanjanje  asfalta sa kolovozne ploče mosta sa odvozom na gradsku deponiju</t>
  </si>
  <si>
    <t>Obračun po m2 uklonjene hidroizolacije I odvoz na gradsku deponiju</t>
  </si>
  <si>
    <t xml:space="preserve"> Uklanjanje / demontaža postojeće dilatacije sa odvozom na gradsku deponiju
</t>
  </si>
  <si>
    <t>Uklanjanje postojeće pešačke  ograde sa mosta radi reparacije I popravke u radionici</t>
  </si>
  <si>
    <t>Rušenje i uklanjanje ivičnjaka I odvoz na gradsku deponiju</t>
  </si>
  <si>
    <t>rušenje pomoćnog objekta ispod mosta
sa odvozom šuta na gradsku deponiju</t>
  </si>
  <si>
    <t>Uklanjanje AB venaca, staze i gredica ograde sa odvozom suta na gradsku deponiju</t>
  </si>
  <si>
    <t>Rušenje zadnjeg parapeta sa odvozom suta na gradsku deponiju</t>
  </si>
  <si>
    <t>Rušenje ab maski pored pendela sa odvozom suta na gradsku deponiju</t>
  </si>
  <si>
    <t>Uklanjanje betona štemovanjem prosečne dubine 10cm sa otklanjanjem suta na gradsku deponiju</t>
  </si>
  <si>
    <t>Linijsko uklanjanje betona, prosečne dubine 2cm sa odvozom na gradsku deponiju</t>
  </si>
  <si>
    <t>Uklanjanje  šuta, raznog otpada, šiblja i granja I odvoz na gradsku deponiju</t>
  </si>
  <si>
    <t xml:space="preserve"> Uklanjanje / demontaža postojeće dilatacije I odvoz suta  na gradsku deponiju
</t>
  </si>
  <si>
    <t xml:space="preserve">Uklanjanje postojeće pešačke  ograde sa mosta  </t>
  </si>
  <si>
    <t>Uklanjanje  montažnih ploča kolovozne konstrukcije mosta zajedno sa slojem asfalta uz prethodno zasecanje asfalta duž kontakta susednih montažnih AB ploča  I odvoz suta  na gradsku deponiju</t>
  </si>
  <si>
    <t>Uklanjanje betona štemovanjem prosečne dubine 4cm  I odvoz suta  na gradsku deponiju</t>
  </si>
  <si>
    <t>Dodatna kоlоvоznа plоčа оd аrmirаnоg bеtоnа prеkо postojeće noseće konstrukcije  Beton C35/45</t>
  </si>
  <si>
    <t>Postavljanje betonskih ivičnjaka 18/24 (MB 50; M-150; V-6)</t>
  </si>
  <si>
    <t>radovi na popravci I AKZ zastiti pesacke ograde mosta</t>
  </si>
  <si>
    <t xml:space="preserve">popravka postojece ograde </t>
  </si>
  <si>
    <t>dodatni rukohvat od profila HOP 100*60*3 sa nastavkom stubica HOP 80*40*3</t>
  </si>
  <si>
    <t>zamena čeličnih ležišta neankerisanim elastomernim ležištima tip1 100*150*35- na oporcima 2x2kom</t>
  </si>
  <si>
    <t>200*250*30-na srednjim stubovima 2x2kom</t>
  </si>
  <si>
    <t>zamena čeličnih ležišta neankerisanim elastomernim ležištima tip1 200*250*30- na oporcima 2x2kom</t>
  </si>
  <si>
    <r>
      <t xml:space="preserve">Izrada i postavljanje zaštitne mreže i čeličnog parapeta  iznad pruge. Ukupna visina zastitne mreze 2 m, dok je celicni lim visine 50 cm(mereno od dna).Zaštitnu mrežu raditi od "grifovanog" pletiva od pocinkovane žice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2,5 mm sa okcima 20/20 mm. Na dnu mreže je čelični parapet od lima d=4mm. Mrežu uokviriti flahom </t>
    </r>
    <r>
      <rPr>
        <sz val="10"/>
        <rFont val="Calibri"/>
        <family val="2"/>
      </rPr>
      <t>≠</t>
    </r>
    <r>
      <rPr>
        <sz val="10"/>
        <rFont val="Arial"/>
        <family val="2"/>
      </rPr>
      <t>30.4 i ugraditi u ram od čeličnih L profila 40.40.5</t>
    </r>
  </si>
  <si>
    <t>Izrada i postavljanje zaštitne mreže i čeličnog parapeta  iznad pruge. Ukupna visina zastitne mreze 2 m, dok je celicni lim visine 50 cm(mereno od dna).Zaštitnu mrežu raditi od "grifovanog" pletiva od pocinkovane žice Ø2,5 mm sa okcima 20/20 mm. Na dnu mreže je čelični parapet od lima d=4mm. Mrežu uokviriti flahom ≠30.4 i ugraditi u ram od čeličnih L profila 40.40.5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</si>
</sst>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R_S_D_-;\-* #,##0.00\ _R_S_D_-;_-* &quot;-&quot;??\ _R_S_D_-;_-@_-"/>
    <numFmt numFmtId="164" formatCode="_(* #,##0.00_);_(* \(#,##0.00\);_(* &quot;-&quot;??_);_(@_)"/>
    <numFmt numFmtId="165" formatCode="0.0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</font>
    <font>
      <sz val="10"/>
      <color indexed="8"/>
      <name val="Calibri"/>
      <family val="2"/>
      <charset val="238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name val="YUFuturaL"/>
      <charset val="238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u/>
      <sz val="10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</font>
    <font>
      <b/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8" fillId="0" borderId="0"/>
  </cellStyleXfs>
  <cellXfs count="381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 wrapText="1"/>
    </xf>
    <xf numFmtId="2" fontId="3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center" vertical="top"/>
    </xf>
    <xf numFmtId="2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/>
    </xf>
    <xf numFmtId="2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right" vertical="center"/>
    </xf>
    <xf numFmtId="4" fontId="6" fillId="2" borderId="6" xfId="0" applyNumberFormat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right" vertical="top"/>
    </xf>
    <xf numFmtId="0" fontId="7" fillId="0" borderId="8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top"/>
    </xf>
    <xf numFmtId="2" fontId="6" fillId="0" borderId="8" xfId="0" applyNumberFormat="1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4" fontId="6" fillId="0" borderId="9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right" vertical="top"/>
    </xf>
    <xf numFmtId="0" fontId="6" fillId="0" borderId="11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top"/>
    </xf>
    <xf numFmtId="2" fontId="6" fillId="0" borderId="11" xfId="0" applyNumberFormat="1" applyFont="1" applyBorder="1" applyAlignment="1">
      <alignment horizontal="center" vertical="top"/>
    </xf>
    <xf numFmtId="4" fontId="6" fillId="0" borderId="11" xfId="0" applyNumberFormat="1" applyFont="1" applyBorder="1" applyAlignment="1">
      <alignment horizontal="right" vertical="top"/>
    </xf>
    <xf numFmtId="4" fontId="6" fillId="0" borderId="12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top"/>
    </xf>
    <xf numFmtId="0" fontId="10" fillId="0" borderId="11" xfId="2" applyFont="1" applyBorder="1" applyAlignment="1">
      <alignment horizontal="right" vertical="top" wrapText="1"/>
    </xf>
    <xf numFmtId="0" fontId="8" fillId="0" borderId="11" xfId="0" applyFont="1" applyBorder="1" applyAlignment="1">
      <alignment horizontal="center" vertical="top"/>
    </xf>
    <xf numFmtId="2" fontId="8" fillId="0" borderId="11" xfId="0" applyNumberFormat="1" applyFont="1" applyBorder="1" applyAlignment="1">
      <alignment horizontal="center" vertical="top"/>
    </xf>
    <xf numFmtId="4" fontId="8" fillId="0" borderId="11" xfId="0" applyNumberFormat="1" applyFont="1" applyBorder="1" applyAlignment="1">
      <alignment horizontal="right" vertical="top"/>
    </xf>
    <xf numFmtId="4" fontId="8" fillId="0" borderId="12" xfId="0" applyNumberFormat="1" applyFont="1" applyBorder="1" applyAlignment="1">
      <alignment horizontal="right" vertical="top"/>
    </xf>
    <xf numFmtId="43" fontId="1" fillId="0" borderId="11" xfId="1" applyFill="1" applyBorder="1" applyAlignment="1">
      <alignment horizontal="right" vertical="top"/>
    </xf>
    <xf numFmtId="0" fontId="6" fillId="0" borderId="11" xfId="0" applyFont="1" applyBorder="1" applyAlignment="1">
      <alignment horizontal="right" vertical="top"/>
    </xf>
    <xf numFmtId="0" fontId="11" fillId="0" borderId="11" xfId="0" applyFont="1" applyBorder="1" applyAlignment="1">
      <alignment vertical="top" wrapText="1"/>
    </xf>
    <xf numFmtId="43" fontId="1" fillId="0" borderId="11" xfId="1" applyFill="1" applyBorder="1" applyAlignment="1">
      <alignment horizontal="center" vertical="top"/>
    </xf>
    <xf numFmtId="2" fontId="1" fillId="0" borderId="11" xfId="1" applyNumberFormat="1" applyFill="1" applyBorder="1" applyAlignment="1">
      <alignment horizontal="center" vertical="top"/>
    </xf>
    <xf numFmtId="43" fontId="1" fillId="0" borderId="12" xfId="1" applyFill="1" applyBorder="1" applyAlignment="1">
      <alignment horizontal="right" vertical="top"/>
    </xf>
    <xf numFmtId="43" fontId="12" fillId="0" borderId="10" xfId="1" applyFont="1" applyFill="1" applyBorder="1" applyAlignment="1">
      <alignment horizontal="center" vertical="top"/>
    </xf>
    <xf numFmtId="43" fontId="1" fillId="0" borderId="11" xfId="1" applyFill="1" applyBorder="1" applyAlignment="1">
      <alignment horizontal="left" vertical="top" wrapText="1"/>
    </xf>
    <xf numFmtId="0" fontId="13" fillId="0" borderId="11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14" fillId="0" borderId="11" xfId="3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7" fillId="0" borderId="11" xfId="3" applyFont="1" applyBorder="1" applyAlignment="1">
      <alignment horizontal="left" vertical="top" wrapText="1"/>
    </xf>
    <xf numFmtId="0" fontId="17" fillId="0" borderId="11" xfId="3" applyFont="1" applyBorder="1" applyAlignment="1">
      <alignment horizontal="center" vertical="top"/>
    </xf>
    <xf numFmtId="43" fontId="17" fillId="0" borderId="11" xfId="1" applyFont="1" applyFill="1" applyBorder="1" applyAlignment="1">
      <alignment horizontal="center" vertical="top"/>
    </xf>
    <xf numFmtId="0" fontId="17" fillId="0" borderId="11" xfId="0" applyFont="1" applyBorder="1" applyAlignment="1">
      <alignment horizontal="center" vertical="top"/>
    </xf>
    <xf numFmtId="0" fontId="19" fillId="0" borderId="11" xfId="0" applyFont="1" applyBorder="1" applyAlignment="1">
      <alignment vertical="top" wrapText="1"/>
    </xf>
    <xf numFmtId="0" fontId="19" fillId="0" borderId="11" xfId="0" applyFont="1" applyBorder="1" applyAlignment="1">
      <alignment horizontal="left" vertical="top" wrapText="1"/>
    </xf>
    <xf numFmtId="0" fontId="14" fillId="0" borderId="11" xfId="3" applyFont="1" applyBorder="1" applyAlignment="1">
      <alignment horizontal="left" vertical="top" wrapText="1"/>
    </xf>
    <xf numFmtId="0" fontId="0" fillId="0" borderId="11" xfId="0" applyBorder="1" applyAlignment="1">
      <alignment horizontal="center" vertical="top"/>
    </xf>
    <xf numFmtId="2" fontId="0" fillId="0" borderId="11" xfId="0" applyNumberFormat="1" applyBorder="1" applyAlignment="1">
      <alignment horizontal="center" vertical="top"/>
    </xf>
    <xf numFmtId="0" fontId="21" fillId="0" borderId="11" xfId="3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right" vertical="top"/>
    </xf>
    <xf numFmtId="0" fontId="7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right" vertical="top"/>
    </xf>
    <xf numFmtId="0" fontId="6" fillId="0" borderId="14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top"/>
    </xf>
    <xf numFmtId="2" fontId="6" fillId="0" borderId="14" xfId="0" applyNumberFormat="1" applyFont="1" applyBorder="1" applyAlignment="1">
      <alignment horizontal="center" vertical="top"/>
    </xf>
    <xf numFmtId="4" fontId="6" fillId="0" borderId="14" xfId="0" applyNumberFormat="1" applyFont="1" applyBorder="1" applyAlignment="1">
      <alignment horizontal="right" vertical="top"/>
    </xf>
    <xf numFmtId="4" fontId="6" fillId="0" borderId="15" xfId="0" applyNumberFormat="1" applyFont="1" applyBorder="1" applyAlignment="1">
      <alignment horizontal="right" vertical="top"/>
    </xf>
    <xf numFmtId="0" fontId="7" fillId="2" borderId="16" xfId="0" applyFont="1" applyFill="1" applyBorder="1" applyAlignment="1">
      <alignment horizontal="center" vertical="center"/>
    </xf>
    <xf numFmtId="43" fontId="1" fillId="2" borderId="17" xfId="1" applyFill="1" applyBorder="1" applyAlignment="1">
      <alignment horizontal="right" vertical="center" wrapText="1"/>
    </xf>
    <xf numFmtId="43" fontId="1" fillId="2" borderId="17" xfId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/>
    </xf>
    <xf numFmtId="2" fontId="7" fillId="2" borderId="17" xfId="0" applyNumberFormat="1" applyFont="1" applyFill="1" applyBorder="1" applyAlignment="1">
      <alignment horizontal="center" vertical="center"/>
    </xf>
    <xf numFmtId="4" fontId="7" fillId="2" borderId="17" xfId="0" applyNumberFormat="1" applyFont="1" applyFill="1" applyBorder="1" applyAlignment="1">
      <alignment horizontal="right" vertical="center"/>
    </xf>
    <xf numFmtId="4" fontId="7" fillId="2" borderId="18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top"/>
    </xf>
    <xf numFmtId="43" fontId="1" fillId="0" borderId="0" xfId="1" applyFill="1" applyBorder="1" applyAlignment="1">
      <alignment horizontal="right" vertical="top" wrapText="1"/>
    </xf>
    <xf numFmtId="43" fontId="1" fillId="0" borderId="0" xfId="1" applyFill="1" applyBorder="1" applyAlignment="1">
      <alignment horizontal="left" vertical="top" wrapText="1"/>
    </xf>
    <xf numFmtId="2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right" vertical="top"/>
    </xf>
    <xf numFmtId="0" fontId="7" fillId="2" borderId="17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vertical="center" wrapText="1"/>
    </xf>
    <xf numFmtId="2" fontId="6" fillId="2" borderId="17" xfId="0" applyNumberFormat="1" applyFont="1" applyFill="1" applyBorder="1" applyAlignment="1">
      <alignment horizontal="center" vertical="center"/>
    </xf>
    <xf numFmtId="4" fontId="6" fillId="2" borderId="17" xfId="0" applyNumberFormat="1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top"/>
    </xf>
    <xf numFmtId="0" fontId="7" fillId="0" borderId="20" xfId="0" applyFont="1" applyBorder="1" applyAlignment="1">
      <alignment horizontal="right" vertical="top"/>
    </xf>
    <xf numFmtId="0" fontId="12" fillId="0" borderId="20" xfId="2" applyFont="1" applyBorder="1" applyAlignment="1">
      <alignment vertical="top" wrapText="1"/>
    </xf>
    <xf numFmtId="43" fontId="1" fillId="0" borderId="20" xfId="1" applyFill="1" applyBorder="1" applyAlignment="1">
      <alignment horizontal="center" vertical="top"/>
    </xf>
    <xf numFmtId="2" fontId="6" fillId="0" borderId="20" xfId="0" applyNumberFormat="1" applyFont="1" applyBorder="1" applyAlignment="1">
      <alignment horizontal="center" vertical="top"/>
    </xf>
    <xf numFmtId="43" fontId="1" fillId="0" borderId="20" xfId="1" applyFill="1" applyBorder="1" applyAlignment="1">
      <alignment horizontal="right" vertical="top"/>
    </xf>
    <xf numFmtId="4" fontId="6" fillId="0" borderId="21" xfId="0" applyNumberFormat="1" applyFont="1" applyBorder="1" applyAlignment="1">
      <alignment horizontal="right" vertical="top"/>
    </xf>
    <xf numFmtId="43" fontId="1" fillId="0" borderId="11" xfId="1" applyFill="1" applyBorder="1" applyAlignment="1">
      <alignment horizontal="right" vertical="top" wrapText="1"/>
    </xf>
    <xf numFmtId="2" fontId="7" fillId="0" borderId="11" xfId="0" applyNumberFormat="1" applyFont="1" applyBorder="1" applyAlignment="1">
      <alignment horizontal="center" vertical="top"/>
    </xf>
    <xf numFmtId="4" fontId="7" fillId="0" borderId="11" xfId="0" applyNumberFormat="1" applyFont="1" applyBorder="1" applyAlignment="1">
      <alignment horizontal="right" vertical="top"/>
    </xf>
    <xf numFmtId="4" fontId="7" fillId="0" borderId="12" xfId="0" applyNumberFormat="1" applyFont="1" applyBorder="1" applyAlignment="1">
      <alignment horizontal="right" vertical="top"/>
    </xf>
    <xf numFmtId="0" fontId="7" fillId="0" borderId="11" xfId="2" applyFont="1" applyBorder="1" applyAlignment="1">
      <alignment vertical="top" wrapText="1"/>
    </xf>
    <xf numFmtId="43" fontId="1" fillId="0" borderId="14" xfId="1" applyFill="1" applyBorder="1" applyAlignment="1">
      <alignment horizontal="right" vertical="top" wrapText="1"/>
    </xf>
    <xf numFmtId="43" fontId="1" fillId="0" borderId="14" xfId="1" applyFill="1" applyBorder="1" applyAlignment="1">
      <alignment horizontal="left" vertical="top" wrapText="1"/>
    </xf>
    <xf numFmtId="4" fontId="8" fillId="0" borderId="15" xfId="0" applyNumberFormat="1" applyFont="1" applyBorder="1" applyAlignment="1">
      <alignment horizontal="right" vertical="top"/>
    </xf>
    <xf numFmtId="4" fontId="12" fillId="0" borderId="18" xfId="0" applyNumberFormat="1" applyFont="1" applyBorder="1" applyAlignment="1">
      <alignment horizontal="right" vertical="center"/>
    </xf>
    <xf numFmtId="43" fontId="22" fillId="0" borderId="11" xfId="1" applyFont="1" applyFill="1" applyBorder="1" applyAlignment="1">
      <alignment horizontal="right" vertical="top" wrapText="1"/>
    </xf>
    <xf numFmtId="0" fontId="14" fillId="0" borderId="14" xfId="3" applyFont="1" applyBorder="1" applyAlignment="1">
      <alignment horizontal="left" vertical="top" wrapText="1"/>
    </xf>
    <xf numFmtId="0" fontId="6" fillId="2" borderId="17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2" borderId="18" xfId="0" applyFont="1" applyFill="1" applyBorder="1" applyAlignment="1">
      <alignment horizontal="right" vertical="center"/>
    </xf>
    <xf numFmtId="0" fontId="7" fillId="0" borderId="22" xfId="0" applyFont="1" applyBorder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6" fillId="0" borderId="23" xfId="0" applyFont="1" applyBorder="1" applyAlignment="1">
      <alignment horizontal="right" vertical="top"/>
    </xf>
    <xf numFmtId="0" fontId="6" fillId="0" borderId="12" xfId="0" applyFont="1" applyBorder="1" applyAlignment="1">
      <alignment horizontal="right" vertical="top"/>
    </xf>
    <xf numFmtId="0" fontId="6" fillId="0" borderId="11" xfId="0" applyFont="1" applyBorder="1" applyAlignment="1">
      <alignment horizontal="justify" vertical="top" wrapText="1"/>
    </xf>
    <xf numFmtId="0" fontId="6" fillId="0" borderId="14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top"/>
    </xf>
    <xf numFmtId="0" fontId="7" fillId="0" borderId="25" xfId="0" applyFont="1" applyBorder="1" applyAlignment="1">
      <alignment horizontal="right" vertical="top"/>
    </xf>
    <xf numFmtId="0" fontId="7" fillId="0" borderId="25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center" vertical="top"/>
    </xf>
    <xf numFmtId="2" fontId="6" fillId="0" borderId="25" xfId="0" applyNumberFormat="1" applyFont="1" applyBorder="1" applyAlignment="1">
      <alignment horizontal="center" vertical="top"/>
    </xf>
    <xf numFmtId="0" fontId="6" fillId="0" borderId="25" xfId="0" applyFont="1" applyBorder="1" applyAlignment="1">
      <alignment horizontal="right" vertical="top"/>
    </xf>
    <xf numFmtId="0" fontId="6" fillId="0" borderId="26" xfId="0" applyFont="1" applyBorder="1" applyAlignment="1">
      <alignment horizontal="right" vertical="top"/>
    </xf>
    <xf numFmtId="0" fontId="7" fillId="0" borderId="20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/>
    </xf>
    <xf numFmtId="0" fontId="6" fillId="0" borderId="20" xfId="0" applyFont="1" applyBorder="1" applyAlignment="1">
      <alignment horizontal="right" vertical="top"/>
    </xf>
    <xf numFmtId="0" fontId="6" fillId="0" borderId="21" xfId="0" applyFont="1" applyBorder="1" applyAlignment="1">
      <alignment horizontal="right" vertical="top"/>
    </xf>
    <xf numFmtId="0" fontId="6" fillId="0" borderId="11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right" vertical="top"/>
    </xf>
    <xf numFmtId="0" fontId="6" fillId="0" borderId="14" xfId="0" applyFont="1" applyBorder="1" applyAlignment="1">
      <alignment horizontal="center" vertical="top" wrapText="1"/>
    </xf>
    <xf numFmtId="4" fontId="7" fillId="2" borderId="17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 vertical="top"/>
    </xf>
    <xf numFmtId="0" fontId="12" fillId="0" borderId="11" xfId="0" applyFont="1" applyBorder="1" applyAlignment="1">
      <alignment horizontal="right" vertical="top"/>
    </xf>
    <xf numFmtId="165" fontId="6" fillId="0" borderId="11" xfId="0" applyNumberFormat="1" applyFont="1" applyBorder="1" applyAlignment="1">
      <alignment horizontal="right" vertical="top"/>
    </xf>
    <xf numFmtId="164" fontId="6" fillId="0" borderId="12" xfId="0" applyNumberFormat="1" applyFont="1" applyBorder="1" applyAlignment="1">
      <alignment horizontal="right" vertical="top"/>
    </xf>
    <xf numFmtId="165" fontId="6" fillId="0" borderId="14" xfId="0" applyNumberFormat="1" applyFont="1" applyBorder="1" applyAlignment="1">
      <alignment horizontal="right" vertical="top"/>
    </xf>
    <xf numFmtId="164" fontId="6" fillId="0" borderId="15" xfId="0" applyNumberFormat="1" applyFont="1" applyBorder="1" applyAlignment="1">
      <alignment horizontal="right" vertical="top"/>
    </xf>
    <xf numFmtId="0" fontId="24" fillId="0" borderId="11" xfId="2" applyFont="1" applyBorder="1" applyAlignment="1">
      <alignment horizontal="right" vertical="top" wrapText="1"/>
    </xf>
    <xf numFmtId="0" fontId="12" fillId="0" borderId="11" xfId="0" applyFont="1" applyBorder="1" applyAlignment="1">
      <alignment vertical="top" wrapText="1"/>
    </xf>
    <xf numFmtId="2" fontId="6" fillId="0" borderId="11" xfId="0" applyNumberFormat="1" applyFont="1" applyBorder="1" applyAlignment="1">
      <alignment horizontal="center" vertical="top" wrapText="1"/>
    </xf>
    <xf numFmtId="4" fontId="6" fillId="0" borderId="11" xfId="0" applyNumberFormat="1" applyFont="1" applyBorder="1" applyAlignment="1">
      <alignment horizontal="right" vertical="top" wrapText="1"/>
    </xf>
    <xf numFmtId="0" fontId="7" fillId="2" borderId="17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right" vertical="top" wrapText="1"/>
    </xf>
    <xf numFmtId="0" fontId="21" fillId="0" borderId="11" xfId="3" applyFont="1" applyBorder="1" applyAlignment="1">
      <alignment horizontal="left" vertical="top"/>
    </xf>
    <xf numFmtId="0" fontId="0" fillId="0" borderId="11" xfId="0" applyBorder="1" applyAlignment="1">
      <alignment horizontal="right" vertical="top"/>
    </xf>
    <xf numFmtId="0" fontId="14" fillId="0" borderId="11" xfId="3" applyFont="1" applyBorder="1" applyAlignment="1">
      <alignment horizontal="left" vertical="top"/>
    </xf>
    <xf numFmtId="0" fontId="7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right" vertical="center"/>
    </xf>
    <xf numFmtId="0" fontId="6" fillId="2" borderId="28" xfId="0" applyFont="1" applyFill="1" applyBorder="1" applyAlignment="1">
      <alignment vertical="center" wrapText="1"/>
    </xf>
    <xf numFmtId="4" fontId="7" fillId="2" borderId="28" xfId="0" applyNumberFormat="1" applyFont="1" applyFill="1" applyBorder="1" applyAlignment="1">
      <alignment horizontal="center" vertical="center"/>
    </xf>
    <xf numFmtId="2" fontId="7" fillId="2" borderId="28" xfId="0" applyNumberFormat="1" applyFont="1" applyFill="1" applyBorder="1" applyAlignment="1">
      <alignment horizontal="center" vertical="center"/>
    </xf>
    <xf numFmtId="4" fontId="7" fillId="0" borderId="28" xfId="0" applyNumberFormat="1" applyFont="1" applyBorder="1" applyAlignment="1">
      <alignment horizontal="right" vertical="center"/>
    </xf>
    <xf numFmtId="4" fontId="7" fillId="0" borderId="29" xfId="0" applyNumberFormat="1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top"/>
    </xf>
    <xf numFmtId="0" fontId="6" fillId="0" borderId="28" xfId="0" applyFont="1" applyBorder="1" applyAlignment="1">
      <alignment horizontal="right" vertical="top"/>
    </xf>
    <xf numFmtId="0" fontId="6" fillId="0" borderId="28" xfId="0" applyFont="1" applyBorder="1" applyAlignment="1">
      <alignment vertical="top" wrapText="1"/>
    </xf>
    <xf numFmtId="4" fontId="7" fillId="0" borderId="28" xfId="0" applyNumberFormat="1" applyFont="1" applyBorder="1" applyAlignment="1">
      <alignment horizontal="center" vertical="top"/>
    </xf>
    <xf numFmtId="2" fontId="7" fillId="0" borderId="28" xfId="0" applyNumberFormat="1" applyFont="1" applyBorder="1" applyAlignment="1">
      <alignment horizontal="center" vertical="top"/>
    </xf>
    <xf numFmtId="4" fontId="7" fillId="0" borderId="28" xfId="0" applyNumberFormat="1" applyFont="1" applyBorder="1" applyAlignment="1">
      <alignment horizontal="right" vertical="top"/>
    </xf>
    <xf numFmtId="4" fontId="7" fillId="0" borderId="29" xfId="0" applyNumberFormat="1" applyFont="1" applyBorder="1" applyAlignment="1">
      <alignment horizontal="right" vertical="top"/>
    </xf>
    <xf numFmtId="0" fontId="10" fillId="0" borderId="11" xfId="2" applyFont="1" applyBorder="1" applyAlignment="1">
      <alignment horizontal="righ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top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right" vertical="center" wrapText="1"/>
    </xf>
    <xf numFmtId="0" fontId="7" fillId="2" borderId="29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left" vertical="center"/>
    </xf>
    <xf numFmtId="4" fontId="6" fillId="2" borderId="18" xfId="0" applyNumberFormat="1" applyFont="1" applyFill="1" applyBorder="1" applyAlignment="1">
      <alignment horizontal="right" vertical="center"/>
    </xf>
    <xf numFmtId="4" fontId="6" fillId="0" borderId="20" xfId="0" applyNumberFormat="1" applyFont="1" applyBorder="1" applyAlignment="1">
      <alignment horizontal="right" vertical="top"/>
    </xf>
    <xf numFmtId="0" fontId="7" fillId="3" borderId="10" xfId="0" applyFont="1" applyFill="1" applyBorder="1" applyAlignment="1">
      <alignment horizontal="center" vertical="top"/>
    </xf>
    <xf numFmtId="0" fontId="7" fillId="3" borderId="11" xfId="0" applyFont="1" applyFill="1" applyBorder="1" applyAlignment="1">
      <alignment horizontal="right" vertical="top"/>
    </xf>
    <xf numFmtId="0" fontId="7" fillId="3" borderId="11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center" vertical="top"/>
    </xf>
    <xf numFmtId="2" fontId="6" fillId="3" borderId="11" xfId="0" applyNumberFormat="1" applyFont="1" applyFill="1" applyBorder="1" applyAlignment="1">
      <alignment horizontal="center" vertical="top"/>
    </xf>
    <xf numFmtId="4" fontId="6" fillId="3" borderId="11" xfId="0" applyNumberFormat="1" applyFont="1" applyFill="1" applyBorder="1" applyAlignment="1">
      <alignment horizontal="right" vertical="top"/>
    </xf>
    <xf numFmtId="4" fontId="6" fillId="3" borderId="12" xfId="0" applyNumberFormat="1" applyFont="1" applyFill="1" applyBorder="1" applyAlignment="1">
      <alignment horizontal="right" vertical="top"/>
    </xf>
    <xf numFmtId="0" fontId="6" fillId="3" borderId="11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6" fillId="3" borderId="11" xfId="0" applyFont="1" applyFill="1" applyBorder="1" applyAlignment="1">
      <alignment horizontal="right" vertical="top"/>
    </xf>
    <xf numFmtId="0" fontId="11" fillId="3" borderId="11" xfId="0" applyFont="1" applyFill="1" applyBorder="1" applyAlignment="1">
      <alignment horizontal="left" vertical="top" wrapText="1"/>
    </xf>
    <xf numFmtId="43" fontId="1" fillId="3" borderId="11" xfId="1" applyFill="1" applyBorder="1" applyAlignment="1">
      <alignment horizontal="center" vertical="top"/>
    </xf>
    <xf numFmtId="43" fontId="1" fillId="3" borderId="11" xfId="1" applyFill="1" applyBorder="1" applyAlignment="1">
      <alignment horizontal="right" vertical="top"/>
    </xf>
    <xf numFmtId="43" fontId="1" fillId="3" borderId="12" xfId="1" applyFill="1" applyBorder="1" applyAlignment="1">
      <alignment horizontal="right" vertical="top"/>
    </xf>
    <xf numFmtId="0" fontId="10" fillId="3" borderId="11" xfId="2" applyFont="1" applyFill="1" applyBorder="1" applyAlignment="1">
      <alignment horizontal="right" vertical="top" wrapText="1"/>
    </xf>
    <xf numFmtId="43" fontId="12" fillId="3" borderId="10" xfId="1" applyFont="1" applyFill="1" applyBorder="1" applyAlignment="1">
      <alignment horizontal="center" vertical="top"/>
    </xf>
    <xf numFmtId="43" fontId="1" fillId="3" borderId="11" xfId="1" applyFill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center" vertical="top"/>
    </xf>
    <xf numFmtId="2" fontId="30" fillId="0" borderId="11" xfId="0" applyNumberFormat="1" applyFont="1" applyBorder="1" applyAlignment="1">
      <alignment horizontal="center" vertical="top"/>
    </xf>
    <xf numFmtId="0" fontId="8" fillId="0" borderId="14" xfId="0" applyFont="1" applyBorder="1" applyAlignment="1">
      <alignment horizontal="right" vertical="top"/>
    </xf>
    <xf numFmtId="4" fontId="7" fillId="0" borderId="18" xfId="0" applyNumberFormat="1" applyFont="1" applyBorder="1" applyAlignment="1">
      <alignment horizontal="right" vertical="center"/>
    </xf>
    <xf numFmtId="0" fontId="12" fillId="0" borderId="11" xfId="2" applyFont="1" applyBorder="1" applyAlignment="1">
      <alignment horizontal="left" vertical="top" wrapText="1"/>
    </xf>
    <xf numFmtId="0" fontId="31" fillId="0" borderId="11" xfId="2" applyFont="1" applyBorder="1" applyAlignment="1">
      <alignment horizontal="left" vertical="top" wrapText="1"/>
    </xf>
    <xf numFmtId="2" fontId="17" fillId="0" borderId="11" xfId="0" applyNumberFormat="1" applyFont="1" applyBorder="1" applyAlignment="1">
      <alignment horizontal="center" vertical="top"/>
    </xf>
    <xf numFmtId="0" fontId="7" fillId="0" borderId="11" xfId="2" applyFont="1" applyBorder="1" applyAlignment="1">
      <alignment horizontal="left" vertical="top" wrapText="1"/>
    </xf>
    <xf numFmtId="0" fontId="7" fillId="2" borderId="16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right" vertical="top"/>
    </xf>
    <xf numFmtId="0" fontId="6" fillId="2" borderId="17" xfId="0" applyFont="1" applyFill="1" applyBorder="1" applyAlignment="1">
      <alignment horizontal="left" vertical="top"/>
    </xf>
    <xf numFmtId="0" fontId="6" fillId="2" borderId="17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horizontal="center" vertical="top"/>
    </xf>
    <xf numFmtId="4" fontId="7" fillId="2" borderId="17" xfId="0" applyNumberFormat="1" applyFont="1" applyFill="1" applyBorder="1" applyAlignment="1">
      <alignment horizontal="right" vertical="top"/>
    </xf>
    <xf numFmtId="4" fontId="7" fillId="2" borderId="18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0" fontId="7" fillId="2" borderId="17" xfId="0" applyFont="1" applyFill="1" applyBorder="1" applyAlignment="1">
      <alignment horizontal="right" vertical="top"/>
    </xf>
    <xf numFmtId="0" fontId="7" fillId="2" borderId="17" xfId="0" applyFont="1" applyFill="1" applyBorder="1" applyAlignment="1">
      <alignment horizontal="left" vertical="top"/>
    </xf>
    <xf numFmtId="0" fontId="6" fillId="2" borderId="18" xfId="0" applyFont="1" applyFill="1" applyBorder="1" applyAlignment="1">
      <alignment horizontal="right" vertical="top"/>
    </xf>
    <xf numFmtId="0" fontId="7" fillId="0" borderId="28" xfId="0" applyFont="1" applyBorder="1" applyAlignment="1">
      <alignment horizontal="right" vertical="top"/>
    </xf>
    <xf numFmtId="0" fontId="7" fillId="0" borderId="28" xfId="0" applyFont="1" applyBorder="1" applyAlignment="1">
      <alignment horizontal="left" vertical="top"/>
    </xf>
    <xf numFmtId="0" fontId="6" fillId="0" borderId="28" xfId="0" applyFont="1" applyBorder="1" applyAlignment="1">
      <alignment horizontal="center" vertical="top"/>
    </xf>
    <xf numFmtId="0" fontId="6" fillId="0" borderId="29" xfId="0" applyFont="1" applyBorder="1" applyAlignment="1">
      <alignment horizontal="right" vertical="top"/>
    </xf>
    <xf numFmtId="0" fontId="7" fillId="0" borderId="25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/>
    </xf>
    <xf numFmtId="0" fontId="6" fillId="2" borderId="17" xfId="0" applyFont="1" applyFill="1" applyBorder="1" applyAlignment="1">
      <alignment horizontal="left" vertical="center"/>
    </xf>
    <xf numFmtId="4" fontId="6" fillId="0" borderId="11" xfId="0" applyNumberFormat="1" applyFont="1" applyBorder="1" applyAlignment="1">
      <alignment horizontal="center" vertical="top"/>
    </xf>
    <xf numFmtId="0" fontId="24" fillId="0" borderId="20" xfId="2" applyFont="1" applyBorder="1" applyAlignment="1">
      <alignment horizontal="right" vertical="top" wrapText="1"/>
    </xf>
    <xf numFmtId="0" fontId="31" fillId="0" borderId="11" xfId="3" applyFont="1" applyBorder="1" applyAlignment="1">
      <alignment horizontal="left" vertical="top" wrapText="1"/>
    </xf>
    <xf numFmtId="0" fontId="6" fillId="2" borderId="16" xfId="0" applyFont="1" applyFill="1" applyBorder="1" applyAlignment="1">
      <alignment horizontal="center" vertical="center"/>
    </xf>
    <xf numFmtId="4" fontId="7" fillId="0" borderId="17" xfId="0" applyNumberFormat="1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right" vertical="center"/>
    </xf>
    <xf numFmtId="49" fontId="33" fillId="0" borderId="0" xfId="4" applyNumberFormat="1" applyFont="1" applyAlignment="1">
      <alignment horizontal="center" vertical="top" wrapText="1"/>
    </xf>
    <xf numFmtId="1" fontId="33" fillId="0" borderId="0" xfId="4" applyNumberFormat="1" applyFont="1" applyAlignment="1">
      <alignment horizontal="right" vertical="top" wrapText="1"/>
    </xf>
    <xf numFmtId="0" fontId="33" fillId="0" borderId="0" xfId="4" applyFont="1" applyAlignment="1">
      <alignment horizontal="left" vertical="top" wrapText="1"/>
    </xf>
    <xf numFmtId="0" fontId="33" fillId="0" borderId="0" xfId="4" applyFont="1" applyAlignment="1">
      <alignment horizontal="center" vertical="top" wrapText="1"/>
    </xf>
    <xf numFmtId="4" fontId="33" fillId="0" borderId="0" xfId="4" applyNumberFormat="1" applyFont="1" applyAlignment="1">
      <alignment horizontal="center" vertical="top" wrapText="1"/>
    </xf>
    <xf numFmtId="0" fontId="33" fillId="0" borderId="0" xfId="4" applyFont="1" applyAlignment="1">
      <alignment horizontal="right" vertical="top" wrapText="1"/>
    </xf>
    <xf numFmtId="1" fontId="34" fillId="0" borderId="32" xfId="4" applyNumberFormat="1" applyFont="1" applyBorder="1" applyAlignment="1">
      <alignment horizontal="left" vertical="top"/>
    </xf>
    <xf numFmtId="1" fontId="34" fillId="0" borderId="32" xfId="4" applyNumberFormat="1" applyFont="1" applyBorder="1" applyAlignment="1">
      <alignment horizontal="right" vertical="top"/>
    </xf>
    <xf numFmtId="0" fontId="8" fillId="0" borderId="0" xfId="4" applyAlignment="1">
      <alignment horizontal="center" vertical="top" wrapText="1"/>
    </xf>
    <xf numFmtId="4" fontId="8" fillId="0" borderId="0" xfId="4" applyNumberFormat="1" applyAlignment="1">
      <alignment horizontal="center" vertical="top" wrapText="1"/>
    </xf>
    <xf numFmtId="0" fontId="12" fillId="0" borderId="33" xfId="4" applyFont="1" applyBorder="1" applyAlignment="1">
      <alignment vertical="top" wrapText="1"/>
    </xf>
    <xf numFmtId="0" fontId="12" fillId="0" borderId="34" xfId="4" applyFont="1" applyBorder="1" applyAlignment="1">
      <alignment horizontal="right" vertical="top" wrapText="1"/>
    </xf>
    <xf numFmtId="0" fontId="8" fillId="0" borderId="34" xfId="4" applyBorder="1" applyAlignment="1">
      <alignment horizontal="left" vertical="top" wrapText="1"/>
    </xf>
    <xf numFmtId="0" fontId="8" fillId="0" borderId="34" xfId="4" applyBorder="1" applyAlignment="1">
      <alignment horizontal="center" vertical="top"/>
    </xf>
    <xf numFmtId="4" fontId="8" fillId="0" borderId="34" xfId="4" applyNumberFormat="1" applyBorder="1" applyAlignment="1">
      <alignment horizontal="center" vertical="top"/>
    </xf>
    <xf numFmtId="4" fontId="8" fillId="0" borderId="34" xfId="4" applyNumberFormat="1" applyBorder="1" applyAlignment="1">
      <alignment horizontal="right" vertical="top"/>
    </xf>
    <xf numFmtId="4" fontId="8" fillId="0" borderId="35" xfId="4" applyNumberFormat="1" applyBorder="1" applyAlignment="1">
      <alignment horizontal="right" vertical="top"/>
    </xf>
    <xf numFmtId="0" fontId="12" fillId="0" borderId="36" xfId="4" applyFont="1" applyBorder="1" applyAlignment="1">
      <alignment vertical="top" wrapText="1"/>
    </xf>
    <xf numFmtId="0" fontId="12" fillId="0" borderId="37" xfId="4" applyFont="1" applyBorder="1" applyAlignment="1">
      <alignment horizontal="right" vertical="top" wrapText="1"/>
    </xf>
    <xf numFmtId="0" fontId="8" fillId="0" borderId="37" xfId="4" applyBorder="1" applyAlignment="1">
      <alignment horizontal="left" vertical="top" wrapText="1"/>
    </xf>
    <xf numFmtId="0" fontId="8" fillId="0" borderId="37" xfId="4" applyBorder="1" applyAlignment="1">
      <alignment horizontal="center" vertical="top"/>
    </xf>
    <xf numFmtId="4" fontId="8" fillId="0" borderId="37" xfId="4" applyNumberFormat="1" applyBorder="1" applyAlignment="1">
      <alignment horizontal="center" vertical="top"/>
    </xf>
    <xf numFmtId="4" fontId="8" fillId="0" borderId="37" xfId="4" applyNumberFormat="1" applyBorder="1" applyAlignment="1">
      <alignment horizontal="right" vertical="top"/>
    </xf>
    <xf numFmtId="4" fontId="8" fillId="0" borderId="38" xfId="4" applyNumberFormat="1" applyBorder="1" applyAlignment="1">
      <alignment horizontal="right" vertical="top"/>
    </xf>
    <xf numFmtId="4" fontId="12" fillId="2" borderId="18" xfId="4" applyNumberFormat="1" applyFont="1" applyFill="1" applyBorder="1" applyAlignment="1">
      <alignment horizontal="right" vertical="center" wrapText="1"/>
    </xf>
    <xf numFmtId="49" fontId="35" fillId="0" borderId="0" xfId="4" applyNumberFormat="1" applyFont="1" applyAlignment="1">
      <alignment horizontal="right" vertical="top" wrapText="1"/>
    </xf>
    <xf numFmtId="49" fontId="35" fillId="0" borderId="0" xfId="4" applyNumberFormat="1" applyFont="1" applyAlignment="1">
      <alignment horizontal="left" vertical="top" wrapText="1"/>
    </xf>
    <xf numFmtId="49" fontId="35" fillId="0" borderId="0" xfId="4" applyNumberFormat="1" applyFont="1" applyAlignment="1">
      <alignment horizontal="center" vertical="top" wrapText="1"/>
    </xf>
    <xf numFmtId="4" fontId="12" fillId="0" borderId="39" xfId="4" applyNumberFormat="1" applyFont="1" applyBorder="1" applyAlignment="1">
      <alignment horizontal="right" vertical="top" wrapText="1"/>
    </xf>
    <xf numFmtId="0" fontId="32" fillId="0" borderId="40" xfId="0" applyFont="1" applyBorder="1" applyAlignment="1">
      <alignment horizontal="right" vertical="top" wrapText="1"/>
    </xf>
    <xf numFmtId="0" fontId="32" fillId="0" borderId="34" xfId="0" applyFont="1" applyBorder="1" applyAlignment="1">
      <alignment horizontal="right" vertical="top" wrapText="1"/>
    </xf>
    <xf numFmtId="0" fontId="23" fillId="0" borderId="34" xfId="0" applyFont="1" applyBorder="1" applyAlignment="1">
      <alignment horizontal="center" vertical="top"/>
    </xf>
    <xf numFmtId="4" fontId="23" fillId="0" borderId="41" xfId="0" applyNumberFormat="1" applyFont="1" applyBorder="1" applyAlignment="1">
      <alignment horizontal="center" vertical="top"/>
    </xf>
    <xf numFmtId="4" fontId="23" fillId="0" borderId="41" xfId="0" applyNumberFormat="1" applyFont="1" applyBorder="1" applyAlignment="1">
      <alignment horizontal="right" vertical="top"/>
    </xf>
    <xf numFmtId="4" fontId="23" fillId="0" borderId="42" xfId="0" applyNumberFormat="1" applyFont="1" applyBorder="1" applyAlignment="1">
      <alignment horizontal="right" vertical="top"/>
    </xf>
    <xf numFmtId="0" fontId="32" fillId="0" borderId="43" xfId="0" applyFont="1" applyBorder="1" applyAlignment="1">
      <alignment horizontal="right" vertical="top" wrapText="1"/>
    </xf>
    <xf numFmtId="0" fontId="12" fillId="0" borderId="44" xfId="0" applyFont="1" applyBorder="1" applyAlignment="1">
      <alignment horizontal="right" vertical="top" wrapText="1"/>
    </xf>
    <xf numFmtId="0" fontId="23" fillId="0" borderId="44" xfId="0" applyFont="1" applyBorder="1" applyAlignment="1">
      <alignment horizontal="center" vertical="top"/>
    </xf>
    <xf numFmtId="4" fontId="23" fillId="0" borderId="44" xfId="0" applyNumberFormat="1" applyFont="1" applyBorder="1" applyAlignment="1">
      <alignment horizontal="center" vertical="top"/>
    </xf>
    <xf numFmtId="4" fontId="23" fillId="0" borderId="44" xfId="0" applyNumberFormat="1" applyFont="1" applyBorder="1" applyAlignment="1">
      <alignment horizontal="right" vertical="top"/>
    </xf>
    <xf numFmtId="4" fontId="23" fillId="0" borderId="45" xfId="0" applyNumberFormat="1" applyFont="1" applyBorder="1" applyAlignment="1">
      <alignment horizontal="right" vertical="top"/>
    </xf>
    <xf numFmtId="0" fontId="8" fillId="0" borderId="34" xfId="0" applyFont="1" applyBorder="1" applyAlignment="1">
      <alignment horizontal="left" vertical="top" wrapText="1"/>
    </xf>
    <xf numFmtId="0" fontId="8" fillId="0" borderId="44" xfId="0" applyFont="1" applyBorder="1" applyAlignment="1">
      <alignment horizontal="center" vertical="top"/>
    </xf>
    <xf numFmtId="0" fontId="32" fillId="0" borderId="46" xfId="0" applyFont="1" applyBorder="1" applyAlignment="1">
      <alignment horizontal="right" vertical="top" wrapText="1"/>
    </xf>
    <xf numFmtId="0" fontId="32" fillId="0" borderId="37" xfId="0" applyFont="1" applyBorder="1" applyAlignment="1">
      <alignment horizontal="right" vertical="top" wrapText="1"/>
    </xf>
    <xf numFmtId="0" fontId="6" fillId="0" borderId="41" xfId="0" applyFont="1" applyBorder="1" applyAlignment="1">
      <alignment horizontal="left" vertical="top" wrapText="1"/>
    </xf>
    <xf numFmtId="0" fontId="23" fillId="0" borderId="37" xfId="0" applyFont="1" applyBorder="1" applyAlignment="1">
      <alignment horizontal="center" vertical="top"/>
    </xf>
    <xf numFmtId="4" fontId="23" fillId="0" borderId="37" xfId="0" applyNumberFormat="1" applyFont="1" applyBorder="1" applyAlignment="1">
      <alignment horizontal="center" vertical="top"/>
    </xf>
    <xf numFmtId="4" fontId="23" fillId="0" borderId="37" xfId="0" applyNumberFormat="1" applyFont="1" applyBorder="1" applyAlignment="1">
      <alignment horizontal="right" vertical="top"/>
    </xf>
    <xf numFmtId="4" fontId="23" fillId="0" borderId="47" xfId="0" applyNumberFormat="1" applyFont="1" applyBorder="1" applyAlignment="1">
      <alignment horizontal="right" vertical="top"/>
    </xf>
    <xf numFmtId="0" fontId="31" fillId="0" borderId="0" xfId="4" applyFont="1" applyAlignment="1">
      <alignment vertical="top" wrapText="1"/>
    </xf>
    <xf numFmtId="1" fontId="17" fillId="0" borderId="0" xfId="4" applyNumberFormat="1" applyFont="1" applyAlignment="1">
      <alignment horizontal="right" vertical="top"/>
    </xf>
    <xf numFmtId="0" fontId="8" fillId="0" borderId="0" xfId="4" applyAlignment="1">
      <alignment horizontal="left" vertical="top"/>
    </xf>
    <xf numFmtId="0" fontId="8" fillId="0" borderId="0" xfId="4" applyAlignment="1">
      <alignment horizontal="center" vertical="top"/>
    </xf>
    <xf numFmtId="4" fontId="8" fillId="0" borderId="0" xfId="4" applyNumberFormat="1" applyAlignment="1">
      <alignment horizontal="center" vertical="top"/>
    </xf>
    <xf numFmtId="4" fontId="8" fillId="0" borderId="0" xfId="4" applyNumberFormat="1" applyAlignment="1">
      <alignment horizontal="right" vertical="top"/>
    </xf>
    <xf numFmtId="4" fontId="36" fillId="0" borderId="18" xfId="4" applyNumberFormat="1" applyFont="1" applyBorder="1" applyAlignment="1">
      <alignment horizontal="right" vertical="center" wrapText="1"/>
    </xf>
    <xf numFmtId="0" fontId="35" fillId="0" borderId="0" xfId="4" applyFont="1" applyAlignment="1">
      <alignment horizontal="right" vertical="top"/>
    </xf>
    <xf numFmtId="0" fontId="33" fillId="0" borderId="0" xfId="4" applyFont="1" applyAlignment="1">
      <alignment vertical="top" wrapText="1"/>
    </xf>
    <xf numFmtId="0" fontId="6" fillId="0" borderId="0" xfId="0" applyFont="1"/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4" fontId="6" fillId="0" borderId="12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left" vertical="center" wrapText="1"/>
    </xf>
    <xf numFmtId="4" fontId="6" fillId="0" borderId="52" xfId="0" applyNumberFormat="1" applyFont="1" applyBorder="1" applyAlignment="1">
      <alignment horizontal="right" vertical="center"/>
    </xf>
    <xf numFmtId="0" fontId="6" fillId="2" borderId="16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right" wrapText="1" indent="1"/>
    </xf>
    <xf numFmtId="4" fontId="7" fillId="0" borderId="0" xfId="0" applyNumberFormat="1" applyFont="1" applyAlignment="1">
      <alignment horizontal="right" inden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4" fontId="6" fillId="0" borderId="15" xfId="0" applyNumberFormat="1" applyFont="1" applyBorder="1" applyAlignment="1">
      <alignment horizontal="right" vertical="center"/>
    </xf>
    <xf numFmtId="4" fontId="7" fillId="2" borderId="18" xfId="0" applyNumberFormat="1" applyFont="1" applyFill="1" applyBorder="1" applyAlignment="1">
      <alignment horizontal="right" vertical="center" indent="1"/>
    </xf>
    <xf numFmtId="0" fontId="23" fillId="0" borderId="0" xfId="0" applyFont="1" applyAlignment="1">
      <alignment vertical="center"/>
    </xf>
    <xf numFmtId="0" fontId="23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2" borderId="16" xfId="0" applyFont="1" applyFill="1" applyBorder="1"/>
    <xf numFmtId="0" fontId="7" fillId="2" borderId="17" xfId="0" applyFont="1" applyFill="1" applyBorder="1" applyAlignment="1">
      <alignment horizontal="right" wrapText="1" indent="1"/>
    </xf>
    <xf numFmtId="4" fontId="7" fillId="2" borderId="18" xfId="0" applyNumberFormat="1" applyFont="1" applyFill="1" applyBorder="1" applyAlignment="1">
      <alignment horizontal="right" indent="1"/>
    </xf>
    <xf numFmtId="0" fontId="2" fillId="0" borderId="7" xfId="0" applyFont="1" applyBorder="1"/>
    <xf numFmtId="4" fontId="2" fillId="0" borderId="9" xfId="0" applyNumberFormat="1" applyFont="1" applyBorder="1"/>
    <xf numFmtId="0" fontId="2" fillId="0" borderId="50" xfId="0" applyFont="1" applyBorder="1"/>
    <xf numFmtId="4" fontId="2" fillId="0" borderId="52" xfId="0" applyNumberFormat="1" applyFont="1" applyBorder="1"/>
    <xf numFmtId="0" fontId="7" fillId="0" borderId="53" xfId="0" applyFont="1" applyBorder="1" applyAlignment="1">
      <alignment horizontal="center" vertical="top"/>
    </xf>
    <xf numFmtId="0" fontId="7" fillId="0" borderId="54" xfId="0" applyFont="1" applyBorder="1" applyAlignment="1">
      <alignment horizontal="right" vertical="top"/>
    </xf>
    <xf numFmtId="0" fontId="6" fillId="0" borderId="54" xfId="0" applyFont="1" applyBorder="1" applyAlignment="1">
      <alignment horizontal="center" vertical="top"/>
    </xf>
    <xf numFmtId="2" fontId="6" fillId="0" borderId="54" xfId="0" applyNumberFormat="1" applyFont="1" applyBorder="1" applyAlignment="1">
      <alignment horizontal="center" vertical="top"/>
    </xf>
    <xf numFmtId="0" fontId="6" fillId="0" borderId="54" xfId="0" applyFont="1" applyBorder="1" applyAlignment="1">
      <alignment horizontal="right" vertical="top"/>
    </xf>
    <xf numFmtId="0" fontId="6" fillId="0" borderId="55" xfId="0" applyFont="1" applyBorder="1" applyAlignment="1">
      <alignment horizontal="right" vertical="top"/>
    </xf>
    <xf numFmtId="0" fontId="6" fillId="0" borderId="11" xfId="0" applyFont="1" applyBorder="1" applyAlignment="1">
      <alignment horizontal="center"/>
    </xf>
    <xf numFmtId="0" fontId="14" fillId="3" borderId="11" xfId="3" applyFont="1" applyFill="1" applyBorder="1" applyAlignment="1">
      <alignment horizontal="center" vertical="top"/>
    </xf>
    <xf numFmtId="0" fontId="0" fillId="3" borderId="0" xfId="0" applyFill="1"/>
    <xf numFmtId="0" fontId="12" fillId="0" borderId="11" xfId="0" applyFont="1" applyBorder="1" applyAlignment="1">
      <alignment horizontal="left" vertical="top" wrapText="1"/>
    </xf>
    <xf numFmtId="0" fontId="12" fillId="0" borderId="54" xfId="0" applyFont="1" applyBorder="1" applyAlignment="1">
      <alignment horizontal="left" vertical="top" wrapText="1"/>
    </xf>
    <xf numFmtId="0" fontId="8" fillId="0" borderId="14" xfId="0" applyFont="1" applyBorder="1" applyAlignment="1">
      <alignment vertical="top" wrapText="1"/>
    </xf>
    <xf numFmtId="0" fontId="8" fillId="0" borderId="11" xfId="0" applyFont="1" applyBorder="1" applyAlignment="1">
      <alignment horizontal="justify" vertical="top" wrapText="1"/>
    </xf>
    <xf numFmtId="0" fontId="12" fillId="0" borderId="20" xfId="0" applyFont="1" applyBorder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2" fontId="2" fillId="0" borderId="16" xfId="0" applyNumberFormat="1" applyFont="1" applyBorder="1" applyAlignment="1">
      <alignment horizontal="right" vertical="center"/>
    </xf>
    <xf numFmtId="2" fontId="2" fillId="0" borderId="17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vertical="center"/>
    </xf>
    <xf numFmtId="4" fontId="2" fillId="0" borderId="18" xfId="0" applyNumberFormat="1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1" xfId="0" applyFont="1" applyBorder="1" applyAlignment="1">
      <alignment horizontal="center"/>
    </xf>
    <xf numFmtId="4" fontId="32" fillId="0" borderId="17" xfId="0" applyNumberFormat="1" applyFont="1" applyBorder="1" applyAlignment="1">
      <alignment horizontal="right" vertical="center"/>
    </xf>
    <xf numFmtId="4" fontId="32" fillId="0" borderId="18" xfId="0" applyNumberFormat="1" applyFont="1" applyBorder="1" applyAlignment="1">
      <alignment horizontal="right" vertical="center"/>
    </xf>
    <xf numFmtId="0" fontId="6" fillId="0" borderId="56" xfId="0" applyFont="1" applyBorder="1" applyAlignment="1">
      <alignment horizontal="center" vertical="top" wrapText="1"/>
    </xf>
    <xf numFmtId="0" fontId="6" fillId="0" borderId="57" xfId="0" applyFont="1" applyBorder="1" applyAlignment="1">
      <alignment horizontal="center" vertical="top" wrapText="1"/>
    </xf>
    <xf numFmtId="49" fontId="35" fillId="2" borderId="16" xfId="4" applyNumberFormat="1" applyFont="1" applyFill="1" applyBorder="1" applyAlignment="1">
      <alignment horizontal="right" vertical="center" wrapText="1"/>
    </xf>
    <xf numFmtId="49" fontId="35" fillId="2" borderId="17" xfId="4" applyNumberFormat="1" applyFont="1" applyFill="1" applyBorder="1" applyAlignment="1">
      <alignment horizontal="right" vertical="center" wrapText="1"/>
    </xf>
    <xf numFmtId="49" fontId="36" fillId="0" borderId="16" xfId="4" applyNumberFormat="1" applyFont="1" applyBorder="1" applyAlignment="1">
      <alignment horizontal="right" vertical="center" wrapText="1"/>
    </xf>
    <xf numFmtId="49" fontId="36" fillId="0" borderId="17" xfId="4" applyNumberFormat="1" applyFont="1" applyBorder="1" applyAlignment="1">
      <alignment horizontal="right" vertical="center" wrapText="1"/>
    </xf>
    <xf numFmtId="0" fontId="37" fillId="0" borderId="0" xfId="4" applyFont="1" applyAlignment="1">
      <alignment horizontal="left"/>
    </xf>
    <xf numFmtId="1" fontId="34" fillId="0" borderId="0" xfId="4" applyNumberFormat="1" applyFont="1" applyAlignment="1">
      <alignment horizontal="center" vertical="top"/>
    </xf>
    <xf numFmtId="0" fontId="12" fillId="2" borderId="16" xfId="4" applyFont="1" applyFill="1" applyBorder="1" applyAlignment="1">
      <alignment horizontal="left" vertical="center" wrapText="1"/>
    </xf>
    <xf numFmtId="0" fontId="12" fillId="2" borderId="17" xfId="4" applyFont="1" applyFill="1" applyBorder="1" applyAlignment="1">
      <alignment horizontal="left" vertical="center" wrapText="1"/>
    </xf>
    <xf numFmtId="0" fontId="12" fillId="2" borderId="17" xfId="4" applyFont="1" applyFill="1" applyBorder="1" applyAlignment="1">
      <alignment horizontal="center" wrapText="1"/>
    </xf>
    <xf numFmtId="0" fontId="12" fillId="2" borderId="18" xfId="4" applyFont="1" applyFill="1" applyBorder="1" applyAlignment="1">
      <alignment horizontal="center" wrapText="1"/>
    </xf>
    <xf numFmtId="0" fontId="8" fillId="2" borderId="17" xfId="4" applyFill="1" applyBorder="1" applyAlignment="1">
      <alignment horizontal="center" wrapText="1"/>
    </xf>
    <xf numFmtId="0" fontId="8" fillId="2" borderId="18" xfId="4" applyFill="1" applyBorder="1" applyAlignment="1">
      <alignment horizontal="center" wrapText="1"/>
    </xf>
    <xf numFmtId="0" fontId="38" fillId="0" borderId="0" xfId="0" applyFont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" fontId="34" fillId="2" borderId="16" xfId="4" applyNumberFormat="1" applyFont="1" applyFill="1" applyBorder="1" applyAlignment="1">
      <alignment horizontal="center" vertical="center"/>
    </xf>
    <xf numFmtId="1" fontId="34" fillId="2" borderId="17" xfId="4" applyNumberFormat="1" applyFont="1" applyFill="1" applyBorder="1" applyAlignment="1">
      <alignment horizontal="center" vertical="center"/>
    </xf>
    <xf numFmtId="1" fontId="34" fillId="2" borderId="18" xfId="4" applyNumberFormat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Normal 2 2 2" xfId="4"/>
    <cellStyle name="Normal 2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6"/>
  <sheetViews>
    <sheetView tabSelected="1" topLeftCell="A187" workbookViewId="0">
      <selection activeCell="C201" sqref="C201"/>
    </sheetView>
  </sheetViews>
  <sheetFormatPr defaultRowHeight="15"/>
  <cols>
    <col min="1" max="1" width="5.28515625" customWidth="1"/>
    <col min="2" max="2" width="11.5703125" customWidth="1"/>
    <col min="3" max="3" width="33.85546875" customWidth="1"/>
    <col min="6" max="6" width="22.85546875" customWidth="1"/>
    <col min="7" max="7" width="18.5703125" customWidth="1"/>
  </cols>
  <sheetData>
    <row r="1" spans="1:7" ht="15.75">
      <c r="A1" s="349" t="s">
        <v>0</v>
      </c>
      <c r="B1" s="349"/>
      <c r="C1" s="349"/>
      <c r="D1" s="349"/>
      <c r="E1" s="349"/>
      <c r="F1" s="349"/>
      <c r="G1" s="349"/>
    </row>
    <row r="2" spans="1:7" ht="15.75">
      <c r="A2" s="1"/>
      <c r="B2" s="2"/>
      <c r="C2" s="3"/>
      <c r="D2" s="1"/>
      <c r="E2" s="4"/>
      <c r="F2" s="2"/>
      <c r="G2" s="5"/>
    </row>
    <row r="3" spans="1:7" ht="15.75">
      <c r="A3" s="350" t="s">
        <v>1</v>
      </c>
      <c r="B3" s="350"/>
      <c r="C3" s="350"/>
      <c r="D3" s="350"/>
      <c r="E3" s="350"/>
      <c r="F3" s="350"/>
      <c r="G3" s="350"/>
    </row>
    <row r="4" spans="1:7" ht="15.75" thickBot="1">
      <c r="A4" s="6"/>
      <c r="B4" s="7"/>
      <c r="C4" s="8"/>
      <c r="D4" s="9"/>
      <c r="E4" s="10"/>
      <c r="F4" s="11"/>
      <c r="G4" s="11"/>
    </row>
    <row r="5" spans="1:7" ht="26.25" thickBot="1">
      <c r="A5" s="12" t="s">
        <v>2</v>
      </c>
      <c r="B5" s="13" t="s">
        <v>3</v>
      </c>
      <c r="C5" s="13" t="s">
        <v>4</v>
      </c>
      <c r="D5" s="13" t="s">
        <v>5</v>
      </c>
      <c r="E5" s="14" t="s">
        <v>6</v>
      </c>
      <c r="F5" s="15" t="s">
        <v>7</v>
      </c>
      <c r="G5" s="16" t="s">
        <v>8</v>
      </c>
    </row>
    <row r="6" spans="1:7" ht="15.75" thickBot="1">
      <c r="A6" s="17"/>
      <c r="B6" s="18" t="s">
        <v>9</v>
      </c>
      <c r="C6" s="19" t="s">
        <v>10</v>
      </c>
      <c r="D6" s="20"/>
      <c r="E6" s="21"/>
      <c r="F6" s="22"/>
      <c r="G6" s="23"/>
    </row>
    <row r="7" spans="1:7" ht="25.5">
      <c r="A7" s="24">
        <v>1</v>
      </c>
      <c r="B7" s="25"/>
      <c r="C7" s="26" t="s">
        <v>11</v>
      </c>
      <c r="D7" s="27"/>
      <c r="E7" s="28"/>
      <c r="F7" s="29"/>
      <c r="G7" s="30"/>
    </row>
    <row r="8" spans="1:7" ht="72.75" customHeight="1">
      <c r="A8" s="31"/>
      <c r="B8" s="32"/>
      <c r="C8" s="33" t="s">
        <v>12</v>
      </c>
      <c r="D8" s="34"/>
      <c r="E8" s="35"/>
      <c r="F8" s="36"/>
      <c r="G8" s="37"/>
    </row>
    <row r="9" spans="1:7" ht="43.5" customHeight="1">
      <c r="A9" s="31"/>
      <c r="B9" s="32"/>
      <c r="C9" s="33" t="s">
        <v>13</v>
      </c>
      <c r="D9" s="34"/>
      <c r="E9" s="35"/>
      <c r="F9" s="36"/>
      <c r="G9" s="37"/>
    </row>
    <row r="10" spans="1:7">
      <c r="A10" s="31"/>
      <c r="B10" s="32"/>
      <c r="C10" s="38" t="s">
        <v>14</v>
      </c>
      <c r="D10" s="34" t="s">
        <v>15</v>
      </c>
      <c r="E10" s="35"/>
      <c r="F10" s="36"/>
      <c r="G10" s="37"/>
    </row>
    <row r="11" spans="1:7">
      <c r="A11" s="31">
        <v>2</v>
      </c>
      <c r="B11" s="32">
        <v>101</v>
      </c>
      <c r="C11" s="39" t="s">
        <v>16</v>
      </c>
      <c r="D11" s="34"/>
      <c r="E11" s="35"/>
      <c r="F11" s="36"/>
      <c r="G11" s="37"/>
    </row>
    <row r="12" spans="1:7" ht="102">
      <c r="A12" s="31"/>
      <c r="B12" s="32"/>
      <c r="C12" s="40" t="s">
        <v>17</v>
      </c>
      <c r="D12" s="34"/>
      <c r="E12" s="35"/>
      <c r="F12" s="36"/>
      <c r="G12" s="37"/>
    </row>
    <row r="13" spans="1:7">
      <c r="A13" s="31"/>
      <c r="B13" s="32"/>
      <c r="C13" s="38" t="s">
        <v>14</v>
      </c>
      <c r="D13" s="34" t="s">
        <v>15</v>
      </c>
      <c r="E13" s="35"/>
      <c r="F13" s="36"/>
      <c r="G13" s="37"/>
    </row>
    <row r="14" spans="1:7">
      <c r="A14" s="31"/>
      <c r="B14" s="32" t="s">
        <v>18</v>
      </c>
      <c r="C14" s="41" t="s">
        <v>19</v>
      </c>
      <c r="D14" s="34"/>
      <c r="E14" s="35"/>
      <c r="F14" s="36"/>
      <c r="G14" s="37"/>
    </row>
    <row r="15" spans="1:7" ht="38.25">
      <c r="A15" s="31">
        <v>3</v>
      </c>
      <c r="B15" s="32">
        <v>111</v>
      </c>
      <c r="C15" s="33" t="s">
        <v>445</v>
      </c>
      <c r="D15" s="34"/>
      <c r="E15" s="35"/>
      <c r="F15" s="36"/>
      <c r="G15" s="37"/>
    </row>
    <row r="16" spans="1:7" ht="25.5">
      <c r="A16" s="31"/>
      <c r="B16" s="32"/>
      <c r="C16" s="33" t="s">
        <v>20</v>
      </c>
      <c r="D16" s="34"/>
      <c r="E16" s="35"/>
      <c r="F16" s="36"/>
      <c r="G16" s="37"/>
    </row>
    <row r="17" spans="1:7">
      <c r="A17" s="31"/>
      <c r="B17" s="32"/>
      <c r="C17" s="38" t="s">
        <v>14</v>
      </c>
      <c r="D17" s="34" t="s">
        <v>15</v>
      </c>
      <c r="E17" s="35"/>
      <c r="F17" s="36"/>
      <c r="G17" s="37"/>
    </row>
    <row r="18" spans="1:7" ht="25.5">
      <c r="A18" s="42"/>
      <c r="B18" s="32">
        <v>113</v>
      </c>
      <c r="C18" s="39" t="s">
        <v>444</v>
      </c>
      <c r="D18" s="34"/>
      <c r="E18" s="35"/>
      <c r="F18" s="36"/>
      <c r="G18" s="37"/>
    </row>
    <row r="19" spans="1:7" ht="38.25">
      <c r="A19" s="31">
        <v>4</v>
      </c>
      <c r="B19" s="43" t="s">
        <v>21</v>
      </c>
      <c r="C19" s="40" t="s">
        <v>446</v>
      </c>
      <c r="D19" s="44"/>
      <c r="E19" s="45"/>
      <c r="F19" s="46"/>
      <c r="G19" s="47"/>
    </row>
    <row r="20" spans="1:7" s="174" customFormat="1" ht="19.5" customHeight="1">
      <c r="A20" s="170"/>
      <c r="B20" s="168"/>
      <c r="C20" s="169" t="s">
        <v>225</v>
      </c>
      <c r="D20" s="171" t="s">
        <v>22</v>
      </c>
      <c r="E20" s="172">
        <f>76.25*6.4</f>
        <v>488</v>
      </c>
      <c r="F20" s="173"/>
    </row>
    <row r="21" spans="1:7">
      <c r="A21" s="31"/>
      <c r="B21" s="32" t="s">
        <v>23</v>
      </c>
      <c r="C21" s="41" t="s">
        <v>24</v>
      </c>
      <c r="D21" s="34"/>
      <c r="E21" s="35"/>
      <c r="F21" s="36"/>
      <c r="G21" s="37"/>
    </row>
    <row r="22" spans="1:7">
      <c r="A22" s="31">
        <v>6</v>
      </c>
      <c r="B22" s="32">
        <v>121</v>
      </c>
      <c r="C22" s="39" t="s">
        <v>25</v>
      </c>
      <c r="D22" s="34"/>
      <c r="E22" s="35"/>
      <c r="F22" s="36"/>
      <c r="G22" s="37"/>
    </row>
    <row r="23" spans="1:7" ht="38.25">
      <c r="A23" s="31"/>
      <c r="B23" s="49"/>
      <c r="C23" s="38" t="s">
        <v>26</v>
      </c>
      <c r="D23" s="34"/>
      <c r="E23" s="35"/>
      <c r="F23" s="36"/>
      <c r="G23" s="37"/>
    </row>
    <row r="24" spans="1:7" ht="38.25">
      <c r="A24" s="31"/>
      <c r="B24" s="43"/>
      <c r="C24" s="38" t="s">
        <v>447</v>
      </c>
      <c r="D24" s="34"/>
      <c r="E24" s="35"/>
      <c r="F24" s="36"/>
      <c r="G24" s="37"/>
    </row>
    <row r="25" spans="1:7">
      <c r="A25" s="31"/>
      <c r="B25" s="43"/>
      <c r="C25" s="38" t="s">
        <v>226</v>
      </c>
      <c r="D25" s="34" t="s">
        <v>22</v>
      </c>
      <c r="E25" s="35">
        <f>76.25*6.4</f>
        <v>488</v>
      </c>
      <c r="F25" s="36"/>
      <c r="G25" s="37"/>
    </row>
    <row r="26" spans="1:7" ht="25.5">
      <c r="A26" s="31">
        <v>7</v>
      </c>
      <c r="B26" s="32">
        <v>122</v>
      </c>
      <c r="C26" s="41" t="s">
        <v>450</v>
      </c>
      <c r="D26" s="34"/>
      <c r="E26" s="35"/>
      <c r="F26" s="36"/>
      <c r="G26" s="37"/>
    </row>
    <row r="27" spans="1:7">
      <c r="A27" s="31"/>
      <c r="B27" s="43"/>
      <c r="C27" s="38" t="s">
        <v>227</v>
      </c>
      <c r="D27" s="34"/>
      <c r="E27" s="35"/>
      <c r="F27" s="36"/>
      <c r="G27" s="37"/>
    </row>
    <row r="28" spans="1:7">
      <c r="A28" s="31"/>
      <c r="B28" s="49"/>
      <c r="C28" s="38" t="s">
        <v>27</v>
      </c>
      <c r="D28" s="34" t="s">
        <v>28</v>
      </c>
      <c r="E28" s="35">
        <f>2*(76.25+4.65)</f>
        <v>161.80000000000001</v>
      </c>
      <c r="F28" s="36"/>
      <c r="G28" s="37"/>
    </row>
    <row r="29" spans="1:7" ht="25.5">
      <c r="A29" s="31">
        <v>8</v>
      </c>
      <c r="B29" s="32">
        <v>126</v>
      </c>
      <c r="C29" s="39" t="s">
        <v>29</v>
      </c>
      <c r="D29" s="34"/>
      <c r="E29" s="35"/>
      <c r="F29" s="36"/>
      <c r="G29" s="37"/>
    </row>
    <row r="30" spans="1:7">
      <c r="A30" s="31"/>
      <c r="B30" s="43" t="s">
        <v>228</v>
      </c>
      <c r="C30" s="38" t="s">
        <v>229</v>
      </c>
      <c r="D30" s="34"/>
      <c r="E30" s="35"/>
      <c r="F30" s="36"/>
      <c r="G30" s="37"/>
    </row>
    <row r="31" spans="1:7">
      <c r="A31" s="31"/>
      <c r="B31" s="49"/>
      <c r="C31" s="38" t="s">
        <v>30</v>
      </c>
      <c r="D31" s="34" t="s">
        <v>31</v>
      </c>
      <c r="E31" s="35">
        <f>6*0.25*0.6*0.4</f>
        <v>0.36</v>
      </c>
      <c r="F31" s="36"/>
      <c r="G31" s="37"/>
    </row>
    <row r="32" spans="1:7" ht="51">
      <c r="A32" s="31">
        <v>9</v>
      </c>
      <c r="B32" s="32">
        <v>127</v>
      </c>
      <c r="C32" s="39" t="s">
        <v>448</v>
      </c>
      <c r="D32" s="34"/>
      <c r="E32" s="35"/>
      <c r="F32" s="36"/>
      <c r="G32" s="37"/>
    </row>
    <row r="33" spans="1:7">
      <c r="A33" s="31"/>
      <c r="B33" s="49"/>
      <c r="C33" s="38" t="s">
        <v>32</v>
      </c>
      <c r="D33" s="34"/>
      <c r="E33" s="35"/>
      <c r="F33" s="36"/>
      <c r="G33" s="37"/>
    </row>
    <row r="34" spans="1:7">
      <c r="A34" s="31"/>
      <c r="B34" s="49"/>
      <c r="C34" s="38" t="s">
        <v>230</v>
      </c>
      <c r="D34" s="34"/>
      <c r="E34" s="35"/>
      <c r="F34" s="36"/>
      <c r="G34" s="37"/>
    </row>
    <row r="35" spans="1:7" ht="25.5">
      <c r="A35" s="31"/>
      <c r="B35" s="49"/>
      <c r="C35" s="38" t="s">
        <v>33</v>
      </c>
      <c r="D35" s="34" t="s">
        <v>28</v>
      </c>
      <c r="E35" s="35">
        <f>2*9</f>
        <v>18</v>
      </c>
      <c r="F35" s="36"/>
      <c r="G35" s="37"/>
    </row>
    <row r="36" spans="1:7" ht="38.25">
      <c r="A36" s="31">
        <v>10</v>
      </c>
      <c r="B36" s="32">
        <v>130</v>
      </c>
      <c r="C36" s="50" t="s">
        <v>449</v>
      </c>
      <c r="D36" s="51"/>
      <c r="E36" s="52"/>
      <c r="F36" s="48"/>
      <c r="G36" s="53"/>
    </row>
    <row r="37" spans="1:7">
      <c r="A37" s="31"/>
      <c r="B37" s="43"/>
      <c r="C37" s="38" t="s">
        <v>231</v>
      </c>
      <c r="D37" s="34"/>
      <c r="E37" s="35"/>
      <c r="F37" s="36"/>
      <c r="G37" s="37"/>
    </row>
    <row r="38" spans="1:7">
      <c r="A38" s="54"/>
      <c r="B38" s="48"/>
      <c r="C38" s="55" t="s">
        <v>34</v>
      </c>
      <c r="D38" s="51" t="s">
        <v>28</v>
      </c>
      <c r="E38" s="35">
        <f>2*85.6</f>
        <v>171.2</v>
      </c>
      <c r="F38" s="36"/>
      <c r="G38" s="37"/>
    </row>
    <row r="39" spans="1:7" ht="25.5">
      <c r="A39" s="31"/>
      <c r="B39" s="32">
        <v>131</v>
      </c>
      <c r="C39" s="50" t="s">
        <v>35</v>
      </c>
      <c r="D39" s="51"/>
      <c r="E39" s="52"/>
      <c r="F39" s="48"/>
      <c r="G39" s="53"/>
    </row>
    <row r="40" spans="1:7">
      <c r="A40" s="31">
        <v>11</v>
      </c>
      <c r="B40" s="32" t="s">
        <v>36</v>
      </c>
      <c r="C40" s="56" t="s">
        <v>37</v>
      </c>
      <c r="D40" s="51"/>
      <c r="E40" s="52"/>
      <c r="F40" s="48"/>
      <c r="G40" s="53"/>
    </row>
    <row r="41" spans="1:7" ht="30" customHeight="1">
      <c r="A41" s="31"/>
      <c r="B41" s="32"/>
      <c r="C41" s="57" t="s">
        <v>451</v>
      </c>
      <c r="D41" s="51"/>
      <c r="E41" s="52"/>
      <c r="F41" s="48"/>
      <c r="G41" s="53"/>
    </row>
    <row r="42" spans="1:7">
      <c r="A42" s="31"/>
      <c r="B42" s="32"/>
      <c r="C42" s="38" t="s">
        <v>14</v>
      </c>
      <c r="D42" s="34" t="s">
        <v>15</v>
      </c>
      <c r="E42" s="52"/>
      <c r="F42" s="48"/>
      <c r="G42" s="37"/>
    </row>
    <row r="43" spans="1:7" ht="38.25">
      <c r="A43" s="31">
        <v>12</v>
      </c>
      <c r="B43" s="32" t="s">
        <v>38</v>
      </c>
      <c r="C43" s="56" t="s">
        <v>452</v>
      </c>
      <c r="D43" s="51"/>
      <c r="E43" s="52"/>
      <c r="F43" s="48"/>
      <c r="G43" s="53"/>
    </row>
    <row r="44" spans="1:7">
      <c r="A44" s="31"/>
      <c r="B44" s="49"/>
      <c r="C44" s="40" t="s">
        <v>232</v>
      </c>
      <c r="D44" s="44" t="s">
        <v>31</v>
      </c>
      <c r="E44" s="45">
        <f>2*0.43*85.6</f>
        <v>73.616</v>
      </c>
      <c r="F44" s="36"/>
      <c r="G44" s="37"/>
    </row>
    <row r="45" spans="1:7" ht="25.5">
      <c r="A45" s="31"/>
      <c r="B45" s="49"/>
      <c r="C45" s="38" t="s">
        <v>453</v>
      </c>
      <c r="D45" s="34"/>
      <c r="E45" s="35"/>
      <c r="F45" s="36"/>
      <c r="G45" s="37"/>
    </row>
    <row r="46" spans="1:7">
      <c r="A46" s="31"/>
      <c r="B46" s="49"/>
      <c r="C46" s="38" t="s">
        <v>233</v>
      </c>
      <c r="D46" s="34" t="s">
        <v>31</v>
      </c>
      <c r="E46" s="35">
        <f>2*0.57*0.45*6.4</f>
        <v>3.2832000000000003</v>
      </c>
      <c r="F46" s="36"/>
      <c r="G46" s="37"/>
    </row>
    <row r="47" spans="1:7" ht="25.5">
      <c r="A47" s="31"/>
      <c r="B47" s="49"/>
      <c r="C47" s="38" t="s">
        <v>454</v>
      </c>
      <c r="D47" s="34"/>
      <c r="E47" s="35"/>
      <c r="F47" s="36"/>
      <c r="G47" s="37"/>
    </row>
    <row r="48" spans="1:7">
      <c r="A48" s="31"/>
      <c r="B48" s="49"/>
      <c r="C48" s="38" t="s">
        <v>234</v>
      </c>
      <c r="D48" s="34" t="s">
        <v>31</v>
      </c>
      <c r="E48" s="35">
        <f>1.15*0.84*0.1</f>
        <v>9.6599999999999991E-2</v>
      </c>
      <c r="F48" s="36"/>
      <c r="G48" s="37"/>
    </row>
    <row r="49" spans="1:7" ht="38.25">
      <c r="A49" s="31">
        <v>13</v>
      </c>
      <c r="B49" s="32" t="s">
        <v>40</v>
      </c>
      <c r="C49" s="57" t="s">
        <v>455</v>
      </c>
      <c r="D49" s="51"/>
      <c r="E49" s="52"/>
      <c r="F49" s="48"/>
      <c r="G49" s="53"/>
    </row>
    <row r="50" spans="1:7" ht="89.25">
      <c r="A50" s="31"/>
      <c r="B50" s="32"/>
      <c r="C50" s="56" t="s">
        <v>41</v>
      </c>
      <c r="D50" s="51"/>
      <c r="E50" s="52"/>
      <c r="F50" s="48"/>
      <c r="G50" s="53"/>
    </row>
    <row r="51" spans="1:7">
      <c r="A51" s="31"/>
      <c r="B51" s="32"/>
      <c r="C51" s="38" t="s">
        <v>42</v>
      </c>
      <c r="D51" s="51"/>
      <c r="E51" s="52"/>
      <c r="F51" s="48"/>
      <c r="G51" s="53"/>
    </row>
    <row r="52" spans="1:7" ht="36.75" customHeight="1">
      <c r="A52" s="31"/>
      <c r="B52" s="49"/>
      <c r="C52" s="38" t="s">
        <v>235</v>
      </c>
      <c r="D52" s="44" t="s">
        <v>31</v>
      </c>
      <c r="E52" s="35">
        <f>(1*0.5+0.5*3.5)*0.1+8*0.15*0.15</f>
        <v>0.40500000000000003</v>
      </c>
      <c r="F52" s="36"/>
      <c r="G52" s="37"/>
    </row>
    <row r="53" spans="1:7" ht="38.25">
      <c r="A53" s="31">
        <v>14</v>
      </c>
      <c r="B53" s="32" t="s">
        <v>43</v>
      </c>
      <c r="C53" s="56" t="s">
        <v>456</v>
      </c>
      <c r="D53" s="51"/>
      <c r="E53" s="52"/>
      <c r="F53" s="48"/>
      <c r="G53" s="53"/>
    </row>
    <row r="54" spans="1:7" ht="178.5">
      <c r="A54" s="31"/>
      <c r="B54" s="32"/>
      <c r="C54" s="56" t="s">
        <v>44</v>
      </c>
      <c r="D54" s="51"/>
      <c r="E54" s="52"/>
      <c r="F54" s="48"/>
      <c r="G54" s="53"/>
    </row>
    <row r="55" spans="1:7">
      <c r="A55" s="31"/>
      <c r="B55" s="32"/>
      <c r="C55" s="38" t="s">
        <v>45</v>
      </c>
      <c r="D55" s="51"/>
      <c r="E55" s="52"/>
      <c r="F55" s="48"/>
      <c r="G55" s="53"/>
    </row>
    <row r="56" spans="1:7">
      <c r="A56" s="31"/>
      <c r="B56" s="49"/>
      <c r="C56" s="38" t="s">
        <v>236</v>
      </c>
      <c r="D56" s="58" t="s">
        <v>46</v>
      </c>
      <c r="E56" s="35">
        <f>4+3</f>
        <v>7</v>
      </c>
      <c r="F56" s="36"/>
      <c r="G56" s="37"/>
    </row>
    <row r="57" spans="1:7">
      <c r="A57" s="31"/>
      <c r="B57" s="49"/>
      <c r="C57" s="38" t="s">
        <v>47</v>
      </c>
      <c r="D57" s="59"/>
      <c r="E57" s="35"/>
      <c r="F57" s="36"/>
      <c r="G57" s="37"/>
    </row>
    <row r="58" spans="1:7">
      <c r="A58" s="31"/>
      <c r="B58" s="49"/>
      <c r="C58" s="38" t="s">
        <v>237</v>
      </c>
      <c r="D58" s="58" t="s">
        <v>46</v>
      </c>
      <c r="E58" s="35">
        <f>45*3</f>
        <v>135</v>
      </c>
      <c r="F58" s="36"/>
      <c r="G58" s="37"/>
    </row>
    <row r="59" spans="1:7">
      <c r="A59" s="31"/>
      <c r="B59" s="49"/>
      <c r="C59" s="38" t="s">
        <v>48</v>
      </c>
      <c r="D59" s="59"/>
      <c r="E59" s="35"/>
      <c r="F59" s="36"/>
      <c r="G59" s="37"/>
    </row>
    <row r="60" spans="1:7">
      <c r="A60" s="31"/>
      <c r="B60" s="49"/>
      <c r="C60" s="38" t="s">
        <v>238</v>
      </c>
      <c r="D60" s="58" t="s">
        <v>46</v>
      </c>
      <c r="E60" s="35">
        <f>1*75*2</f>
        <v>150</v>
      </c>
      <c r="F60" s="36"/>
      <c r="G60" s="37"/>
    </row>
    <row r="61" spans="1:7" s="341" customFormat="1">
      <c r="A61" s="184"/>
      <c r="B61" s="198"/>
      <c r="C61" s="191"/>
      <c r="D61" s="340"/>
      <c r="E61" s="188"/>
      <c r="F61" s="189"/>
      <c r="G61" s="190"/>
    </row>
    <row r="62" spans="1:7" ht="25.5">
      <c r="A62" s="31">
        <v>15</v>
      </c>
      <c r="B62" s="32" t="s">
        <v>50</v>
      </c>
      <c r="C62" s="56" t="s">
        <v>51</v>
      </c>
      <c r="D62" s="51"/>
      <c r="E62" s="52"/>
      <c r="F62" s="48"/>
      <c r="G62" s="53"/>
    </row>
    <row r="63" spans="1:7" ht="191.25">
      <c r="A63" s="31"/>
      <c r="B63" s="32"/>
      <c r="C63" s="60" t="s">
        <v>438</v>
      </c>
      <c r="D63" s="51"/>
      <c r="E63" s="52"/>
      <c r="F63" s="48"/>
      <c r="G63" s="53"/>
    </row>
    <row r="64" spans="1:7" ht="25.5">
      <c r="A64" s="31"/>
      <c r="B64" s="32"/>
      <c r="C64" s="38" t="s">
        <v>52</v>
      </c>
      <c r="D64" s="51"/>
      <c r="E64" s="52"/>
      <c r="F64" s="48"/>
      <c r="G64" s="53"/>
    </row>
    <row r="65" spans="1:7">
      <c r="A65" s="31"/>
      <c r="B65" s="49"/>
      <c r="C65" s="38" t="s">
        <v>239</v>
      </c>
      <c r="D65" s="61" t="s">
        <v>53</v>
      </c>
      <c r="E65" s="35">
        <f>0.4*75.4*3</f>
        <v>90.480000000000018</v>
      </c>
      <c r="F65" s="36"/>
      <c r="G65" s="37"/>
    </row>
    <row r="66" spans="1:7">
      <c r="A66" s="31"/>
      <c r="B66" s="32"/>
      <c r="C66" s="38" t="s">
        <v>54</v>
      </c>
      <c r="D66" s="62"/>
      <c r="E66" s="52"/>
      <c r="F66" s="48"/>
      <c r="G66" s="53"/>
    </row>
    <row r="67" spans="1:7" ht="25.5">
      <c r="A67" s="31"/>
      <c r="B67" s="49"/>
      <c r="C67" s="38" t="s">
        <v>240</v>
      </c>
      <c r="D67" s="61" t="s">
        <v>53</v>
      </c>
      <c r="E67" s="35">
        <f>2*2.6*0.25*2+0.4*2.6*2*3+1.3*0.25*3</f>
        <v>9.8149999999999995</v>
      </c>
      <c r="F67" s="36"/>
      <c r="G67" s="37"/>
    </row>
    <row r="68" spans="1:7">
      <c r="A68" s="31"/>
      <c r="B68" s="49"/>
      <c r="C68" s="38" t="s">
        <v>55</v>
      </c>
      <c r="D68" s="63"/>
      <c r="E68" s="35"/>
      <c r="F68" s="36"/>
      <c r="G68" s="37"/>
    </row>
    <row r="69" spans="1:7">
      <c r="A69" s="31"/>
      <c r="B69" s="49"/>
      <c r="C69" s="38" t="s">
        <v>241</v>
      </c>
      <c r="D69" s="61" t="s">
        <v>53</v>
      </c>
      <c r="E69" s="35">
        <f>4+2+1+1+1+3+2+1+3+2</f>
        <v>20</v>
      </c>
      <c r="F69" s="36"/>
      <c r="G69" s="37"/>
    </row>
    <row r="70" spans="1:7">
      <c r="A70" s="31"/>
      <c r="B70" s="49"/>
      <c r="C70" s="38" t="s">
        <v>56</v>
      </c>
      <c r="D70" s="63"/>
      <c r="E70" s="35"/>
      <c r="F70" s="36"/>
      <c r="G70" s="37"/>
    </row>
    <row r="71" spans="1:7">
      <c r="A71" s="31"/>
      <c r="B71" s="49"/>
      <c r="C71" s="38" t="s">
        <v>242</v>
      </c>
      <c r="D71" s="61" t="s">
        <v>53</v>
      </c>
      <c r="E71" s="35">
        <f>4*1.25</f>
        <v>5</v>
      </c>
      <c r="F71" s="36"/>
      <c r="G71" s="37"/>
    </row>
    <row r="72" spans="1:7" ht="38.25">
      <c r="A72" s="31">
        <v>16</v>
      </c>
      <c r="B72" s="32">
        <v>132</v>
      </c>
      <c r="C72" s="50" t="s">
        <v>57</v>
      </c>
      <c r="D72" s="51"/>
      <c r="E72" s="35"/>
      <c r="F72" s="48"/>
      <c r="G72" s="37"/>
    </row>
    <row r="73" spans="1:7">
      <c r="A73" s="31"/>
      <c r="B73" s="49"/>
      <c r="C73" s="55" t="s">
        <v>58</v>
      </c>
      <c r="D73" s="51" t="s">
        <v>59</v>
      </c>
      <c r="E73" s="45"/>
      <c r="F73" s="46"/>
      <c r="G73" s="47"/>
    </row>
    <row r="74" spans="1:7">
      <c r="A74" s="31"/>
      <c r="B74" s="32"/>
      <c r="C74" s="64" t="s">
        <v>60</v>
      </c>
      <c r="D74" s="51"/>
      <c r="E74" s="35"/>
      <c r="F74" s="48"/>
      <c r="G74" s="37"/>
    </row>
    <row r="75" spans="1:7">
      <c r="A75" s="31"/>
      <c r="B75" s="32"/>
      <c r="C75" s="65">
        <v>2</v>
      </c>
      <c r="D75" s="51" t="s">
        <v>59</v>
      </c>
      <c r="E75" s="35">
        <v>2</v>
      </c>
      <c r="F75" s="36"/>
      <c r="G75" s="37"/>
    </row>
    <row r="76" spans="1:7">
      <c r="A76" s="31"/>
      <c r="B76" s="32"/>
      <c r="C76" s="64" t="s">
        <v>61</v>
      </c>
      <c r="D76" s="51"/>
      <c r="E76" s="35"/>
      <c r="F76" s="48"/>
      <c r="G76" s="37"/>
    </row>
    <row r="77" spans="1:7">
      <c r="A77" s="31"/>
      <c r="B77" s="32"/>
      <c r="C77" s="65">
        <v>3</v>
      </c>
      <c r="D77" s="51" t="s">
        <v>59</v>
      </c>
      <c r="E77" s="35">
        <v>3</v>
      </c>
      <c r="F77" s="36"/>
      <c r="G77" s="37"/>
    </row>
    <row r="78" spans="1:7">
      <c r="A78" s="31">
        <v>17</v>
      </c>
      <c r="B78" s="32">
        <v>135</v>
      </c>
      <c r="C78" s="50" t="s">
        <v>62</v>
      </c>
      <c r="D78" s="51"/>
      <c r="E78" s="35"/>
      <c r="F78" s="36"/>
      <c r="G78" s="37"/>
    </row>
    <row r="79" spans="1:7" ht="102">
      <c r="A79" s="31"/>
      <c r="B79" s="32"/>
      <c r="C79" s="66" t="s">
        <v>437</v>
      </c>
      <c r="D79" s="51"/>
      <c r="E79" s="35"/>
      <c r="F79" s="36"/>
      <c r="G79" s="37"/>
    </row>
    <row r="80" spans="1:7">
      <c r="A80" s="31"/>
      <c r="B80" s="32"/>
      <c r="C80" s="56" t="s">
        <v>64</v>
      </c>
      <c r="D80" s="67"/>
      <c r="E80" s="68"/>
      <c r="F80" s="36"/>
      <c r="G80" s="37"/>
    </row>
    <row r="81" spans="1:7">
      <c r="A81" s="31"/>
      <c r="B81" s="32"/>
      <c r="C81" s="38" t="s">
        <v>243</v>
      </c>
      <c r="D81" s="34" t="s">
        <v>22</v>
      </c>
      <c r="E81" s="35">
        <f>8.5*76.25</f>
        <v>648.125</v>
      </c>
      <c r="F81" s="36"/>
      <c r="G81" s="37"/>
    </row>
    <row r="82" spans="1:7">
      <c r="A82" s="31"/>
      <c r="B82" s="49"/>
      <c r="C82" s="55" t="s">
        <v>65</v>
      </c>
      <c r="D82" s="67"/>
      <c r="E82" s="68"/>
      <c r="F82" s="36"/>
      <c r="G82" s="37"/>
    </row>
    <row r="83" spans="1:7">
      <c r="A83" s="31"/>
      <c r="B83" s="49"/>
      <c r="C83" s="38" t="s">
        <v>244</v>
      </c>
      <c r="D83" s="34" t="s">
        <v>22</v>
      </c>
      <c r="E83" s="35">
        <f>4*4.65*1.55</f>
        <v>28.830000000000002</v>
      </c>
      <c r="F83" s="36"/>
      <c r="G83" s="37"/>
    </row>
    <row r="84" spans="1:7">
      <c r="A84" s="31"/>
      <c r="B84" s="49"/>
      <c r="C84" s="55" t="s">
        <v>66</v>
      </c>
      <c r="D84" s="67"/>
      <c r="E84" s="68"/>
      <c r="F84" s="36"/>
      <c r="G84" s="37"/>
    </row>
    <row r="85" spans="1:7">
      <c r="A85" s="31"/>
      <c r="B85" s="49"/>
      <c r="C85" s="38" t="s">
        <v>245</v>
      </c>
      <c r="D85" s="34" t="s">
        <v>22</v>
      </c>
      <c r="E85" s="35">
        <f>2*0.5*6.4</f>
        <v>6.4</v>
      </c>
      <c r="F85" s="36"/>
      <c r="G85" s="37"/>
    </row>
    <row r="86" spans="1:7" ht="30">
      <c r="A86" s="31"/>
      <c r="B86" s="49"/>
      <c r="C86" s="55" t="s">
        <v>67</v>
      </c>
      <c r="D86" s="67"/>
      <c r="E86" s="68"/>
      <c r="F86" s="36"/>
      <c r="G86" s="37"/>
    </row>
    <row r="87" spans="1:7">
      <c r="A87" s="31"/>
      <c r="B87" s="49"/>
      <c r="C87" s="38" t="s">
        <v>246</v>
      </c>
      <c r="D87" s="34" t="s">
        <v>22</v>
      </c>
      <c r="E87" s="35">
        <f>1*1.15+2*1.1*1.15</f>
        <v>3.6799999999999997</v>
      </c>
      <c r="F87" s="36"/>
      <c r="G87" s="37"/>
    </row>
    <row r="88" spans="1:7">
      <c r="A88" s="31"/>
      <c r="B88" s="49"/>
      <c r="C88" s="55" t="s">
        <v>42</v>
      </c>
      <c r="D88" s="67"/>
      <c r="E88" s="68"/>
      <c r="F88" s="36"/>
      <c r="G88" s="37"/>
    </row>
    <row r="89" spans="1:7">
      <c r="A89" s="31"/>
      <c r="B89" s="49"/>
      <c r="C89" s="38" t="s">
        <v>247</v>
      </c>
      <c r="D89" s="34" t="s">
        <v>22</v>
      </c>
      <c r="E89" s="35">
        <f>4*8+3.5*8</f>
        <v>60</v>
      </c>
      <c r="F89" s="36"/>
      <c r="G89" s="37"/>
    </row>
    <row r="90" spans="1:7">
      <c r="A90" s="31"/>
      <c r="B90" s="49"/>
      <c r="C90" s="55" t="s">
        <v>45</v>
      </c>
      <c r="D90" s="67"/>
      <c r="E90" s="68"/>
      <c r="F90" s="36"/>
      <c r="G90" s="37"/>
    </row>
    <row r="91" spans="1:7" ht="25.5">
      <c r="A91" s="31"/>
      <c r="B91" s="49"/>
      <c r="C91" s="38" t="s">
        <v>248</v>
      </c>
      <c r="D91" s="34" t="s">
        <v>22</v>
      </c>
      <c r="E91" s="35">
        <f>(5.8*6.7*2+0.8*6.7*2)+(5.8*5.7*2+0.8*5.7*2)</f>
        <v>163.68</v>
      </c>
      <c r="F91" s="36"/>
      <c r="G91" s="37"/>
    </row>
    <row r="92" spans="1:7" ht="30">
      <c r="A92" s="31"/>
      <c r="B92" s="49"/>
      <c r="C92" s="55" t="s">
        <v>47</v>
      </c>
      <c r="D92" s="67"/>
      <c r="E92" s="68"/>
      <c r="F92" s="36"/>
      <c r="G92" s="37"/>
    </row>
    <row r="93" spans="1:7">
      <c r="A93" s="31"/>
      <c r="B93" s="49"/>
      <c r="C93" s="38" t="s">
        <v>249</v>
      </c>
      <c r="D93" s="34" t="s">
        <v>22</v>
      </c>
      <c r="E93" s="35">
        <f>165+172.2+165</f>
        <v>502.2</v>
      </c>
      <c r="F93" s="36"/>
      <c r="G93" s="37"/>
    </row>
    <row r="94" spans="1:7">
      <c r="A94" s="31"/>
      <c r="B94" s="49"/>
      <c r="C94" s="55" t="s">
        <v>54</v>
      </c>
      <c r="D94" s="67"/>
      <c r="E94" s="68"/>
      <c r="F94" s="36"/>
      <c r="G94" s="37"/>
    </row>
    <row r="95" spans="1:7">
      <c r="A95" s="31"/>
      <c r="B95" s="49"/>
      <c r="C95" s="38" t="s">
        <v>250</v>
      </c>
      <c r="D95" s="34" t="s">
        <v>22</v>
      </c>
      <c r="E95" s="35">
        <f>1.06*2.6*2*2*12+2.6*0.25*2*7</f>
        <v>141.38800000000001</v>
      </c>
      <c r="F95" s="36"/>
      <c r="G95" s="37"/>
    </row>
    <row r="96" spans="1:7">
      <c r="A96" s="31"/>
      <c r="B96" s="49"/>
      <c r="C96" s="55" t="s">
        <v>55</v>
      </c>
      <c r="D96" s="67"/>
      <c r="E96" s="68"/>
      <c r="F96" s="36"/>
      <c r="G96" s="37"/>
    </row>
    <row r="97" spans="1:7">
      <c r="A97" s="31"/>
      <c r="B97" s="49"/>
      <c r="C97" s="38" t="s">
        <v>251</v>
      </c>
      <c r="D97" s="34" t="s">
        <v>22</v>
      </c>
      <c r="E97" s="35">
        <f>5.2*2.6*16+6.5*2.6*8</f>
        <v>351.52000000000004</v>
      </c>
      <c r="F97" s="36"/>
      <c r="G97" s="37"/>
    </row>
    <row r="98" spans="1:7">
      <c r="A98" s="31"/>
      <c r="B98" s="49"/>
      <c r="C98" s="55" t="s">
        <v>56</v>
      </c>
      <c r="D98" s="67"/>
      <c r="E98" s="68"/>
      <c r="F98" s="36"/>
      <c r="G98" s="37"/>
    </row>
    <row r="99" spans="1:7" ht="25.5">
      <c r="A99" s="31"/>
      <c r="B99" s="49"/>
      <c r="C99" s="38" t="s">
        <v>252</v>
      </c>
      <c r="D99" s="34" t="s">
        <v>22</v>
      </c>
      <c r="E99" s="35">
        <f>((4.6+3.3)*0.5*1.3*2*4+(4.1+2.8)*0.5*1.3*2*4)*2</f>
        <v>153.91999999999999</v>
      </c>
      <c r="F99" s="36"/>
      <c r="G99" s="37"/>
    </row>
    <row r="100" spans="1:7">
      <c r="A100" s="31"/>
      <c r="B100" s="49"/>
      <c r="C100" s="55" t="s">
        <v>48</v>
      </c>
      <c r="D100" s="67"/>
      <c r="E100" s="68"/>
      <c r="F100" s="36"/>
      <c r="G100" s="37"/>
    </row>
    <row r="101" spans="1:7">
      <c r="A101" s="31"/>
      <c r="B101" s="49"/>
      <c r="C101" s="38" t="s">
        <v>254</v>
      </c>
      <c r="D101" s="34" t="s">
        <v>22</v>
      </c>
      <c r="E101" s="35">
        <f>75.4*1.0305*2</f>
        <v>155.39940000000001</v>
      </c>
      <c r="F101" s="36"/>
      <c r="G101" s="37"/>
    </row>
    <row r="102" spans="1:7" ht="25.5">
      <c r="A102" s="31">
        <v>18</v>
      </c>
      <c r="B102" s="32">
        <v>136</v>
      </c>
      <c r="C102" s="50" t="s">
        <v>69</v>
      </c>
      <c r="D102" s="34"/>
      <c r="E102" s="35"/>
      <c r="F102" s="36"/>
      <c r="G102" s="37"/>
    </row>
    <row r="103" spans="1:7" ht="25.5">
      <c r="A103" s="31"/>
      <c r="B103" s="32"/>
      <c r="C103" s="38" t="s">
        <v>70</v>
      </c>
      <c r="D103" s="34"/>
      <c r="E103" s="35"/>
      <c r="F103" s="36"/>
      <c r="G103" s="37"/>
    </row>
    <row r="104" spans="1:7">
      <c r="A104" s="31"/>
      <c r="B104" s="32"/>
      <c r="C104" s="38" t="s">
        <v>255</v>
      </c>
      <c r="D104" s="34"/>
      <c r="E104" s="35"/>
      <c r="F104" s="36"/>
      <c r="G104" s="37"/>
    </row>
    <row r="105" spans="1:7">
      <c r="A105" s="31"/>
      <c r="B105" s="49"/>
      <c r="C105" s="40" t="s">
        <v>71</v>
      </c>
      <c r="D105" s="44" t="s">
        <v>22</v>
      </c>
      <c r="E105" s="45">
        <f>8.5*76.25</f>
        <v>648.125</v>
      </c>
      <c r="F105" s="46"/>
      <c r="G105" s="47"/>
    </row>
    <row r="106" spans="1:7">
      <c r="A106" s="31">
        <v>19</v>
      </c>
      <c r="B106" s="32">
        <v>137</v>
      </c>
      <c r="C106" s="69" t="s">
        <v>72</v>
      </c>
      <c r="D106" s="34"/>
      <c r="E106" s="35"/>
      <c r="F106" s="36"/>
      <c r="G106" s="37"/>
    </row>
    <row r="107" spans="1:7" ht="89.25">
      <c r="A107" s="31"/>
      <c r="B107" s="32"/>
      <c r="C107" s="38" t="s">
        <v>439</v>
      </c>
      <c r="D107" s="34"/>
      <c r="E107" s="35"/>
      <c r="F107" s="36"/>
      <c r="G107" s="37"/>
    </row>
    <row r="108" spans="1:7" ht="25.5">
      <c r="A108" s="31"/>
      <c r="B108" s="32"/>
      <c r="C108" s="38" t="s">
        <v>52</v>
      </c>
      <c r="D108" s="67"/>
      <c r="E108" s="68"/>
      <c r="F108" s="36"/>
      <c r="G108" s="37"/>
    </row>
    <row r="109" spans="1:7">
      <c r="A109" s="31"/>
      <c r="B109" s="49"/>
      <c r="C109" s="38" t="s">
        <v>256</v>
      </c>
      <c r="D109" s="34" t="s">
        <v>22</v>
      </c>
      <c r="E109" s="35">
        <f>75.4*0.4*3</f>
        <v>90.480000000000018</v>
      </c>
      <c r="F109" s="36"/>
      <c r="G109" s="37"/>
    </row>
    <row r="110" spans="1:7">
      <c r="A110" s="31"/>
      <c r="B110" s="32"/>
      <c r="C110" s="38" t="s">
        <v>73</v>
      </c>
      <c r="D110" s="67"/>
      <c r="E110" s="68"/>
      <c r="F110" s="36"/>
      <c r="G110" s="37"/>
    </row>
    <row r="111" spans="1:7">
      <c r="A111" s="31"/>
      <c r="B111" s="49"/>
      <c r="C111" s="38" t="s">
        <v>257</v>
      </c>
      <c r="D111" s="34" t="s">
        <v>22</v>
      </c>
      <c r="E111" s="35">
        <f>2.6*0.25*2*2</f>
        <v>2.6</v>
      </c>
      <c r="F111" s="36"/>
      <c r="G111" s="37"/>
    </row>
    <row r="112" spans="1:7" ht="25.5">
      <c r="A112" s="31">
        <v>20</v>
      </c>
      <c r="B112" s="32">
        <v>138</v>
      </c>
      <c r="C112" s="69" t="s">
        <v>74</v>
      </c>
      <c r="D112" s="51"/>
      <c r="E112" s="35"/>
      <c r="F112" s="36"/>
      <c r="G112" s="37"/>
    </row>
    <row r="113" spans="1:7" ht="76.5">
      <c r="A113" s="31"/>
      <c r="B113" s="32"/>
      <c r="C113" s="66" t="s">
        <v>440</v>
      </c>
      <c r="D113" s="51"/>
      <c r="E113" s="35"/>
      <c r="F113" s="36"/>
      <c r="G113" s="37"/>
    </row>
    <row r="114" spans="1:7">
      <c r="A114" s="31"/>
      <c r="B114" s="49"/>
      <c r="C114" s="55" t="s">
        <v>42</v>
      </c>
      <c r="D114" s="67"/>
      <c r="E114" s="68"/>
      <c r="F114" s="36"/>
      <c r="G114" s="37"/>
    </row>
    <row r="115" spans="1:7">
      <c r="A115" s="31"/>
      <c r="B115" s="49"/>
      <c r="C115" s="38" t="s">
        <v>258</v>
      </c>
      <c r="D115" s="34" t="s">
        <v>22</v>
      </c>
      <c r="E115" s="35">
        <f>4*8+3.5*8</f>
        <v>60</v>
      </c>
      <c r="F115" s="36"/>
      <c r="G115" s="37"/>
    </row>
    <row r="116" spans="1:7">
      <c r="A116" s="31"/>
      <c r="B116" s="49"/>
      <c r="C116" s="55" t="s">
        <v>45</v>
      </c>
      <c r="D116" s="67"/>
      <c r="E116" s="68"/>
      <c r="F116" s="36"/>
      <c r="G116" s="37"/>
    </row>
    <row r="117" spans="1:7" ht="25.5">
      <c r="A117" s="31"/>
      <c r="B117" s="49"/>
      <c r="C117" s="38" t="s">
        <v>259</v>
      </c>
      <c r="D117" s="34" t="s">
        <v>22</v>
      </c>
      <c r="E117" s="35">
        <f>(5.8*6.7*2+0.8*6.7*2)+(5.8*5.7*2+0.8*5.7*2)</f>
        <v>163.68</v>
      </c>
      <c r="F117" s="36"/>
      <c r="G117" s="37"/>
    </row>
    <row r="118" spans="1:7" ht="30">
      <c r="A118" s="31"/>
      <c r="B118" s="49"/>
      <c r="C118" s="55" t="s">
        <v>47</v>
      </c>
      <c r="D118" s="67"/>
      <c r="E118" s="68"/>
      <c r="F118" s="36"/>
      <c r="G118" s="37"/>
    </row>
    <row r="119" spans="1:7">
      <c r="A119" s="31"/>
      <c r="B119" s="49"/>
      <c r="C119" s="38" t="s">
        <v>249</v>
      </c>
      <c r="D119" s="34" t="s">
        <v>22</v>
      </c>
      <c r="E119" s="35">
        <f>165+172.2+165</f>
        <v>502.2</v>
      </c>
      <c r="F119" s="36"/>
      <c r="G119" s="37"/>
    </row>
    <row r="120" spans="1:7" ht="30">
      <c r="A120" s="31"/>
      <c r="B120" s="49"/>
      <c r="C120" s="55" t="s">
        <v>76</v>
      </c>
      <c r="D120" s="67"/>
      <c r="E120" s="68"/>
      <c r="F120" s="36"/>
      <c r="G120" s="37"/>
    </row>
    <row r="121" spans="1:7">
      <c r="A121" s="31"/>
      <c r="B121" s="49"/>
      <c r="C121" s="38" t="s">
        <v>256</v>
      </c>
      <c r="D121" s="34" t="s">
        <v>22</v>
      </c>
      <c r="E121" s="35">
        <f>75.4*0.4*3</f>
        <v>90.480000000000018</v>
      </c>
      <c r="F121" s="36"/>
      <c r="G121" s="37"/>
    </row>
    <row r="122" spans="1:7">
      <c r="A122" s="31"/>
      <c r="B122" s="49"/>
      <c r="C122" s="55" t="s">
        <v>54</v>
      </c>
      <c r="D122" s="67"/>
      <c r="E122" s="68"/>
      <c r="F122" s="36"/>
      <c r="G122" s="37"/>
    </row>
    <row r="123" spans="1:7">
      <c r="A123" s="31"/>
      <c r="B123" s="49"/>
      <c r="C123" s="38" t="s">
        <v>260</v>
      </c>
      <c r="D123" s="34" t="s">
        <v>22</v>
      </c>
      <c r="E123" s="35">
        <f>1.06*2.6*2*2*12+2.6*0.25*2*9</f>
        <v>143.988</v>
      </c>
      <c r="F123" s="36"/>
      <c r="G123" s="37"/>
    </row>
    <row r="124" spans="1:7">
      <c r="A124" s="31"/>
      <c r="B124" s="49"/>
      <c r="C124" s="55" t="s">
        <v>55</v>
      </c>
      <c r="D124" s="67"/>
      <c r="E124" s="68"/>
      <c r="F124" s="36"/>
      <c r="G124" s="37"/>
    </row>
    <row r="125" spans="1:7">
      <c r="A125" s="31"/>
      <c r="B125" s="49"/>
      <c r="C125" s="38" t="s">
        <v>261</v>
      </c>
      <c r="D125" s="34" t="s">
        <v>22</v>
      </c>
      <c r="E125" s="35">
        <f>5.2*2.6*16+6.5*2.6*8</f>
        <v>351.52000000000004</v>
      </c>
      <c r="F125" s="36"/>
      <c r="G125" s="37"/>
    </row>
    <row r="126" spans="1:7">
      <c r="A126" s="31"/>
      <c r="B126" s="49"/>
      <c r="C126" s="55" t="s">
        <v>56</v>
      </c>
      <c r="D126" s="67"/>
      <c r="E126" s="68"/>
      <c r="F126" s="36"/>
      <c r="G126" s="37"/>
    </row>
    <row r="127" spans="1:7" ht="25.5">
      <c r="A127" s="31"/>
      <c r="B127" s="49"/>
      <c r="C127" s="38" t="s">
        <v>262</v>
      </c>
      <c r="D127" s="34" t="s">
        <v>22</v>
      </c>
      <c r="E127" s="35">
        <f>((4.6+3.3)*0.5*1.3*2*4+(4.1+2.8)*0.5*1.3*2*4)*2</f>
        <v>153.91999999999999</v>
      </c>
      <c r="F127" s="36"/>
      <c r="G127" s="37"/>
    </row>
    <row r="128" spans="1:7">
      <c r="A128" s="31"/>
      <c r="B128" s="49"/>
      <c r="C128" s="55" t="s">
        <v>48</v>
      </c>
      <c r="D128" s="67"/>
      <c r="E128" s="68"/>
      <c r="F128" s="36"/>
      <c r="G128" s="37"/>
    </row>
    <row r="129" spans="1:7">
      <c r="A129" s="31"/>
      <c r="B129" s="49"/>
      <c r="C129" s="38" t="s">
        <v>253</v>
      </c>
      <c r="D129" s="34" t="s">
        <v>22</v>
      </c>
      <c r="E129" s="35">
        <f>75.4*1.0305*2</f>
        <v>155.39940000000001</v>
      </c>
      <c r="F129" s="36"/>
      <c r="G129" s="37"/>
    </row>
    <row r="130" spans="1:7" ht="25.5">
      <c r="A130" s="31">
        <v>21</v>
      </c>
      <c r="B130" s="32">
        <v>140</v>
      </c>
      <c r="C130" s="39" t="s">
        <v>77</v>
      </c>
      <c r="D130" s="34"/>
      <c r="E130" s="35"/>
      <c r="F130" s="36"/>
      <c r="G130" s="37"/>
    </row>
    <row r="131" spans="1:7">
      <c r="A131" s="70"/>
      <c r="B131" s="71"/>
      <c r="C131" s="40" t="s">
        <v>78</v>
      </c>
      <c r="D131" s="44"/>
      <c r="E131" s="45"/>
      <c r="F131" s="46"/>
      <c r="G131" s="47"/>
    </row>
    <row r="132" spans="1:7">
      <c r="A132" s="70"/>
      <c r="B132" s="71"/>
      <c r="C132" s="40" t="s">
        <v>263</v>
      </c>
      <c r="D132" s="44"/>
      <c r="E132" s="45"/>
      <c r="F132" s="46"/>
      <c r="G132" s="47"/>
    </row>
    <row r="133" spans="1:7">
      <c r="A133" s="70"/>
      <c r="B133" s="71"/>
      <c r="C133" s="40" t="s">
        <v>68</v>
      </c>
      <c r="D133" s="44" t="s">
        <v>22</v>
      </c>
      <c r="E133" s="45">
        <f>8.5*76.25</f>
        <v>648.125</v>
      </c>
      <c r="F133" s="46"/>
      <c r="G133" s="47"/>
    </row>
    <row r="134" spans="1:7">
      <c r="A134" s="31">
        <v>22</v>
      </c>
      <c r="B134" s="32">
        <v>150</v>
      </c>
      <c r="C134" s="50" t="s">
        <v>79</v>
      </c>
      <c r="D134" s="51"/>
      <c r="E134" s="35"/>
      <c r="F134" s="48"/>
      <c r="G134" s="37"/>
    </row>
    <row r="135" spans="1:7">
      <c r="A135" s="31"/>
      <c r="B135" s="49"/>
      <c r="C135" s="38" t="s">
        <v>264</v>
      </c>
      <c r="D135" s="51"/>
      <c r="E135" s="35"/>
      <c r="F135" s="36"/>
      <c r="G135" s="37"/>
    </row>
    <row r="136" spans="1:7">
      <c r="A136" s="31"/>
      <c r="B136" s="49"/>
      <c r="C136" s="38" t="s">
        <v>39</v>
      </c>
      <c r="D136" s="34" t="s">
        <v>31</v>
      </c>
      <c r="E136" s="35">
        <f>0.3*0.4*0.84*3</f>
        <v>0.30239999999999995</v>
      </c>
      <c r="F136" s="36"/>
      <c r="G136" s="37"/>
    </row>
    <row r="137" spans="1:7">
      <c r="A137" s="31">
        <v>23</v>
      </c>
      <c r="B137" s="32">
        <v>160</v>
      </c>
      <c r="C137" s="50" t="s">
        <v>80</v>
      </c>
      <c r="D137" s="34"/>
      <c r="E137" s="35"/>
      <c r="F137" s="36"/>
      <c r="G137" s="37"/>
    </row>
    <row r="138" spans="1:7" ht="38.25">
      <c r="A138" s="31"/>
      <c r="B138" s="49"/>
      <c r="C138" s="38" t="s">
        <v>81</v>
      </c>
      <c r="D138" s="34"/>
      <c r="E138" s="35"/>
      <c r="F138" s="36"/>
      <c r="G138" s="37"/>
    </row>
    <row r="139" spans="1:7" ht="15.75" thickBot="1">
      <c r="A139" s="72"/>
      <c r="B139" s="73"/>
      <c r="C139" s="74" t="s">
        <v>14</v>
      </c>
      <c r="D139" s="75" t="s">
        <v>15</v>
      </c>
      <c r="E139" s="76">
        <v>1</v>
      </c>
      <c r="F139" s="77"/>
      <c r="G139" s="78"/>
    </row>
    <row r="140" spans="1:7" ht="15.75" thickBot="1">
      <c r="A140" s="79"/>
      <c r="B140" s="80"/>
      <c r="C140" s="81"/>
      <c r="D140" s="82"/>
      <c r="E140" s="83"/>
      <c r="F140" s="84" t="s">
        <v>82</v>
      </c>
      <c r="G140" s="85"/>
    </row>
    <row r="141" spans="1:7" ht="15.75" thickBot="1">
      <c r="A141" s="86"/>
      <c r="B141" s="87"/>
      <c r="C141" s="88"/>
      <c r="D141" s="9"/>
      <c r="E141" s="89"/>
      <c r="F141" s="90"/>
      <c r="G141" s="90"/>
    </row>
    <row r="142" spans="1:7" ht="15.75" thickBot="1">
      <c r="A142" s="79"/>
      <c r="B142" s="91" t="s">
        <v>83</v>
      </c>
      <c r="C142" s="92" t="s">
        <v>84</v>
      </c>
      <c r="D142" s="82"/>
      <c r="E142" s="93"/>
      <c r="F142" s="94"/>
      <c r="G142" s="85"/>
    </row>
    <row r="143" spans="1:7" ht="25.5">
      <c r="A143" s="95">
        <v>24</v>
      </c>
      <c r="B143" s="96">
        <v>202</v>
      </c>
      <c r="C143" s="97" t="s">
        <v>85</v>
      </c>
      <c r="D143" s="98"/>
      <c r="E143" s="99"/>
      <c r="F143" s="100"/>
      <c r="G143" s="101"/>
    </row>
    <row r="144" spans="1:7" ht="45">
      <c r="A144" s="31"/>
      <c r="B144" s="102"/>
      <c r="C144" s="55" t="s">
        <v>86</v>
      </c>
      <c r="D144" s="34"/>
      <c r="E144" s="103"/>
      <c r="F144" s="104"/>
      <c r="G144" s="105"/>
    </row>
    <row r="145" spans="1:7">
      <c r="A145" s="31"/>
      <c r="B145" s="102"/>
      <c r="C145" s="38" t="s">
        <v>265</v>
      </c>
      <c r="D145" s="34"/>
      <c r="E145" s="103"/>
      <c r="F145" s="104"/>
      <c r="G145" s="105"/>
    </row>
    <row r="146" spans="1:7">
      <c r="A146" s="31"/>
      <c r="B146" s="49"/>
      <c r="C146" s="38" t="s">
        <v>87</v>
      </c>
      <c r="D146" s="34" t="s">
        <v>31</v>
      </c>
      <c r="E146" s="35">
        <f>2*6.4*4.8*4</f>
        <v>245.76</v>
      </c>
      <c r="F146" s="36"/>
      <c r="G146" s="47"/>
    </row>
    <row r="147" spans="1:7">
      <c r="A147" s="31">
        <v>25</v>
      </c>
      <c r="B147" s="32">
        <v>206</v>
      </c>
      <c r="C147" s="106" t="s">
        <v>88</v>
      </c>
      <c r="D147" s="34"/>
      <c r="E147" s="35"/>
      <c r="F147" s="36"/>
      <c r="G147" s="47"/>
    </row>
    <row r="148" spans="1:7" ht="60">
      <c r="A148" s="31"/>
      <c r="B148" s="49"/>
      <c r="C148" s="55" t="s">
        <v>441</v>
      </c>
      <c r="D148" s="34"/>
      <c r="E148" s="35"/>
      <c r="F148" s="36"/>
      <c r="G148" s="47"/>
    </row>
    <row r="149" spans="1:7">
      <c r="A149" s="31"/>
      <c r="B149" s="49"/>
      <c r="C149" s="38" t="s">
        <v>266</v>
      </c>
      <c r="D149" s="34"/>
      <c r="E149" s="35"/>
      <c r="F149" s="36"/>
      <c r="G149" s="47"/>
    </row>
    <row r="150" spans="1:7" ht="15.75" thickBot="1">
      <c r="A150" s="72"/>
      <c r="B150" s="107"/>
      <c r="C150" s="108" t="s">
        <v>89</v>
      </c>
      <c r="D150" s="75" t="s">
        <v>31</v>
      </c>
      <c r="E150" s="76">
        <f>2*6.4*3.8*4</f>
        <v>194.56</v>
      </c>
      <c r="F150" s="77"/>
      <c r="G150" s="109"/>
    </row>
    <row r="151" spans="1:7" ht="15.75" thickBot="1">
      <c r="A151" s="79"/>
      <c r="B151" s="80"/>
      <c r="C151" s="81"/>
      <c r="D151" s="82"/>
      <c r="E151" s="83"/>
      <c r="F151" s="84" t="s">
        <v>90</v>
      </c>
      <c r="G151" s="110"/>
    </row>
    <row r="152" spans="1:7" ht="15.75" thickBot="1">
      <c r="A152" s="86"/>
      <c r="B152" s="87"/>
      <c r="C152" s="88"/>
      <c r="D152" s="9"/>
      <c r="E152" s="89"/>
      <c r="F152" s="90"/>
      <c r="G152" s="90"/>
    </row>
    <row r="153" spans="1:7" ht="15.75" thickBot="1">
      <c r="A153" s="79"/>
      <c r="B153" s="91" t="s">
        <v>91</v>
      </c>
      <c r="C153" s="92" t="s">
        <v>92</v>
      </c>
      <c r="D153" s="82"/>
      <c r="E153" s="93"/>
      <c r="F153" s="94"/>
      <c r="G153" s="85"/>
    </row>
    <row r="154" spans="1:7" ht="38.25">
      <c r="A154" s="31">
        <v>26</v>
      </c>
      <c r="B154" s="32">
        <v>301</v>
      </c>
      <c r="C154" s="106" t="s">
        <v>93</v>
      </c>
      <c r="D154" s="34"/>
      <c r="E154" s="35"/>
      <c r="F154" s="36"/>
      <c r="G154" s="37"/>
    </row>
    <row r="155" spans="1:7" ht="127.5">
      <c r="A155" s="31"/>
      <c r="B155" s="49"/>
      <c r="C155" s="60" t="s">
        <v>94</v>
      </c>
      <c r="D155" s="34"/>
      <c r="E155" s="35"/>
      <c r="F155" s="36"/>
      <c r="G155" s="37"/>
    </row>
    <row r="156" spans="1:7">
      <c r="A156" s="31"/>
      <c r="B156" s="49"/>
      <c r="C156" s="38" t="s">
        <v>267</v>
      </c>
      <c r="D156" s="34"/>
      <c r="E156" s="35"/>
      <c r="F156" s="36"/>
      <c r="G156" s="37"/>
    </row>
    <row r="157" spans="1:7" ht="27">
      <c r="A157" s="31"/>
      <c r="B157" s="111"/>
      <c r="C157" s="66" t="s">
        <v>95</v>
      </c>
      <c r="D157" s="34" t="s">
        <v>22</v>
      </c>
      <c r="E157" s="35">
        <f>75.4*9</f>
        <v>678.6</v>
      </c>
      <c r="F157" s="36"/>
      <c r="G157" s="37"/>
    </row>
    <row r="158" spans="1:7" ht="38.25">
      <c r="A158" s="31">
        <v>27</v>
      </c>
      <c r="B158" s="32">
        <v>302</v>
      </c>
      <c r="C158" s="106" t="s">
        <v>96</v>
      </c>
      <c r="D158" s="34"/>
      <c r="E158" s="35"/>
      <c r="F158" s="36"/>
      <c r="G158" s="37"/>
    </row>
    <row r="159" spans="1:7" ht="89.25">
      <c r="A159" s="31"/>
      <c r="B159" s="49"/>
      <c r="C159" s="60" t="s">
        <v>97</v>
      </c>
      <c r="D159" s="34"/>
      <c r="E159" s="35"/>
      <c r="F159" s="36"/>
      <c r="G159" s="37"/>
    </row>
    <row r="160" spans="1:7" ht="25.5">
      <c r="A160" s="31"/>
      <c r="B160" s="49"/>
      <c r="C160" s="38" t="s">
        <v>268</v>
      </c>
      <c r="D160" s="34"/>
      <c r="E160" s="35"/>
      <c r="F160" s="36"/>
      <c r="G160" s="37">
        <f>SUM(G1)</f>
        <v>0</v>
      </c>
    </row>
    <row r="161" spans="1:7" ht="27.75" thickBot="1">
      <c r="A161" s="72"/>
      <c r="B161" s="107"/>
      <c r="C161" s="112" t="s">
        <v>98</v>
      </c>
      <c r="D161" s="75" t="s">
        <v>22</v>
      </c>
      <c r="E161" s="76">
        <f>4*8+3.5*8+(5.8*6.7*2+0.8*6.7*2)+(5.8*5.7*2+0.8*5.7*2)</f>
        <v>223.68</v>
      </c>
      <c r="F161" s="77"/>
      <c r="G161" s="78"/>
    </row>
    <row r="162" spans="1:7" ht="15.75" thickBot="1">
      <c r="A162" s="79"/>
      <c r="B162" s="113"/>
      <c r="C162" s="114"/>
      <c r="D162" s="82"/>
      <c r="E162" s="83"/>
      <c r="F162" s="84" t="s">
        <v>99</v>
      </c>
      <c r="G162" s="85"/>
    </row>
    <row r="163" spans="1:7" ht="15.75" thickBot="1">
      <c r="A163" s="86"/>
      <c r="B163" s="11"/>
      <c r="C163" s="115"/>
      <c r="D163" s="9"/>
      <c r="E163" s="89"/>
      <c r="F163" s="90"/>
      <c r="G163" s="90"/>
    </row>
    <row r="164" spans="1:7" ht="15.75" thickBot="1">
      <c r="A164" s="79"/>
      <c r="B164" s="91" t="s">
        <v>100</v>
      </c>
      <c r="C164" s="92" t="s">
        <v>101</v>
      </c>
      <c r="D164" s="82"/>
      <c r="E164" s="93"/>
      <c r="F164" s="113"/>
      <c r="G164" s="116"/>
    </row>
    <row r="165" spans="1:7" ht="25.5">
      <c r="A165" s="117"/>
      <c r="B165" s="118" t="s">
        <v>102</v>
      </c>
      <c r="C165" s="119" t="s">
        <v>103</v>
      </c>
      <c r="D165" s="9"/>
      <c r="E165" s="10"/>
      <c r="F165" s="11"/>
      <c r="G165" s="120"/>
    </row>
    <row r="166" spans="1:7" ht="25.5">
      <c r="A166" s="31">
        <v>28</v>
      </c>
      <c r="B166" s="32">
        <v>512</v>
      </c>
      <c r="C166" s="39" t="s">
        <v>104</v>
      </c>
      <c r="D166" s="34"/>
      <c r="E166" s="35"/>
      <c r="F166" s="49"/>
      <c r="G166" s="121"/>
    </row>
    <row r="167" spans="1:7" ht="25.5">
      <c r="A167" s="31"/>
      <c r="B167" s="32"/>
      <c r="C167" s="38" t="s">
        <v>105</v>
      </c>
      <c r="D167" s="34"/>
      <c r="E167" s="35"/>
      <c r="F167" s="49"/>
      <c r="G167" s="121"/>
    </row>
    <row r="168" spans="1:7">
      <c r="A168" s="31"/>
      <c r="B168" s="32"/>
      <c r="C168" s="38" t="s">
        <v>269</v>
      </c>
      <c r="D168" s="34"/>
      <c r="E168" s="35"/>
      <c r="F168" s="49"/>
      <c r="G168" s="121"/>
    </row>
    <row r="169" spans="1:7">
      <c r="A169" s="31"/>
      <c r="B169" s="32"/>
      <c r="C169" s="33" t="s">
        <v>106</v>
      </c>
      <c r="D169" s="34" t="s">
        <v>22</v>
      </c>
      <c r="E169" s="35">
        <f>2*3.6*6.3</f>
        <v>45.36</v>
      </c>
      <c r="F169" s="36"/>
      <c r="G169" s="37"/>
    </row>
    <row r="170" spans="1:7" ht="48.75" customHeight="1">
      <c r="A170" s="31">
        <v>29</v>
      </c>
      <c r="B170" s="32">
        <v>520</v>
      </c>
      <c r="C170" s="122" t="s">
        <v>442</v>
      </c>
      <c r="D170" s="34"/>
      <c r="E170" s="35"/>
      <c r="F170" s="49"/>
      <c r="G170" s="121"/>
    </row>
    <row r="171" spans="1:7">
      <c r="A171" s="31"/>
      <c r="B171" s="49"/>
      <c r="C171" s="122" t="s">
        <v>107</v>
      </c>
      <c r="D171" s="75" t="s">
        <v>31</v>
      </c>
      <c r="E171" s="35">
        <v>1</v>
      </c>
      <c r="F171" s="49"/>
      <c r="G171" s="121"/>
    </row>
    <row r="172" spans="1:7">
      <c r="A172" s="31"/>
      <c r="B172" s="49"/>
      <c r="C172" s="122" t="s">
        <v>108</v>
      </c>
      <c r="D172" s="34" t="s">
        <v>31</v>
      </c>
      <c r="E172" s="35">
        <f>4*4*0.15+1.5*4*0.15</f>
        <v>3.3</v>
      </c>
      <c r="F172" s="49"/>
      <c r="G172" s="121"/>
    </row>
    <row r="173" spans="1:7">
      <c r="A173" s="124"/>
      <c r="B173" s="125" t="s">
        <v>110</v>
      </c>
      <c r="C173" s="126" t="s">
        <v>111</v>
      </c>
      <c r="D173" s="127"/>
      <c r="E173" s="128"/>
      <c r="F173" s="129"/>
      <c r="G173" s="130"/>
    </row>
    <row r="174" spans="1:7" ht="25.5" customHeight="1">
      <c r="A174" s="333"/>
      <c r="B174" s="334">
        <v>552</v>
      </c>
      <c r="C174" s="342" t="s">
        <v>426</v>
      </c>
      <c r="D174" s="335"/>
      <c r="E174" s="336"/>
      <c r="F174" s="337"/>
      <c r="G174" s="338"/>
    </row>
    <row r="175" spans="1:7" ht="27.75" customHeight="1">
      <c r="A175" s="333"/>
      <c r="B175" s="334"/>
      <c r="C175" s="57" t="s">
        <v>424</v>
      </c>
      <c r="D175" s="335"/>
      <c r="E175" s="336"/>
      <c r="F175" s="337"/>
      <c r="G175" s="338"/>
    </row>
    <row r="176" spans="1:7">
      <c r="A176" s="333"/>
      <c r="B176" s="334"/>
      <c r="C176" s="343" t="s">
        <v>425</v>
      </c>
      <c r="D176" s="335"/>
      <c r="E176" s="336"/>
      <c r="F176" s="337"/>
      <c r="G176" s="338"/>
    </row>
    <row r="177" spans="1:7">
      <c r="A177" s="333"/>
      <c r="B177" s="334"/>
      <c r="C177" s="344" t="s">
        <v>109</v>
      </c>
      <c r="D177" s="75" t="s">
        <v>31</v>
      </c>
      <c r="E177" s="336">
        <v>12.8</v>
      </c>
      <c r="F177" s="337"/>
      <c r="G177" s="338"/>
    </row>
    <row r="178" spans="1:7" ht="25.5">
      <c r="A178" s="95">
        <v>30</v>
      </c>
      <c r="B178" s="96">
        <v>553</v>
      </c>
      <c r="C178" s="131" t="s">
        <v>112</v>
      </c>
      <c r="D178" s="132"/>
      <c r="E178" s="99"/>
      <c r="F178" s="133"/>
      <c r="G178" s="134"/>
    </row>
    <row r="179" spans="1:7" ht="38.25">
      <c r="A179" s="31"/>
      <c r="B179" s="49"/>
      <c r="C179" s="345" t="s">
        <v>462</v>
      </c>
      <c r="D179" s="34"/>
      <c r="E179" s="35"/>
      <c r="F179" s="49"/>
      <c r="G179" s="121"/>
    </row>
    <row r="180" spans="1:7">
      <c r="A180" s="31"/>
      <c r="B180" s="49"/>
      <c r="C180" s="38" t="s">
        <v>270</v>
      </c>
      <c r="D180" s="135" t="s">
        <v>31</v>
      </c>
      <c r="E180" s="35">
        <f>76.2*(2*1.45*0.125+5.6*0.1)</f>
        <v>70.294499999999999</v>
      </c>
      <c r="F180" s="36"/>
      <c r="G180" s="37"/>
    </row>
    <row r="181" spans="1:7">
      <c r="A181" s="31"/>
      <c r="B181" s="49"/>
      <c r="C181" s="33" t="s">
        <v>109</v>
      </c>
      <c r="D181" s="135"/>
      <c r="E181" s="35"/>
      <c r="F181" s="36"/>
      <c r="G181" s="37"/>
    </row>
    <row r="182" spans="1:7" ht="25.5">
      <c r="A182" s="31">
        <v>31</v>
      </c>
      <c r="B182" s="32">
        <v>554</v>
      </c>
      <c r="C182" s="39" t="s">
        <v>113</v>
      </c>
      <c r="D182" s="34"/>
      <c r="E182" s="35"/>
      <c r="F182" s="49"/>
      <c r="G182" s="121"/>
    </row>
    <row r="183" spans="1:7" ht="25.5">
      <c r="A183" s="31"/>
      <c r="B183" s="32"/>
      <c r="C183" s="33" t="s">
        <v>114</v>
      </c>
      <c r="D183" s="34"/>
      <c r="E183" s="35"/>
      <c r="F183" s="49"/>
      <c r="G183" s="121"/>
    </row>
    <row r="184" spans="1:7">
      <c r="A184" s="31"/>
      <c r="B184" s="32"/>
      <c r="C184" s="38" t="s">
        <v>272</v>
      </c>
      <c r="D184" s="135" t="s">
        <v>31</v>
      </c>
      <c r="E184" s="35">
        <f>85.6*(0.17+0.18)</f>
        <v>29.959999999999997</v>
      </c>
      <c r="F184" s="36"/>
      <c r="G184" s="37"/>
    </row>
    <row r="185" spans="1:7" ht="25.5">
      <c r="A185" s="31"/>
      <c r="B185" s="32"/>
      <c r="C185" s="33" t="s">
        <v>115</v>
      </c>
      <c r="D185" s="34"/>
      <c r="E185" s="35"/>
      <c r="F185" s="49"/>
      <c r="G185" s="121"/>
    </row>
    <row r="186" spans="1:7">
      <c r="A186" s="31"/>
      <c r="B186" s="32"/>
      <c r="C186" s="38" t="s">
        <v>271</v>
      </c>
      <c r="D186" s="135" t="s">
        <v>31</v>
      </c>
      <c r="E186" s="35">
        <f>85.6*(0.25+0.27)</f>
        <v>44.512</v>
      </c>
      <c r="F186" s="36"/>
      <c r="G186" s="37"/>
    </row>
    <row r="187" spans="1:7" ht="15.75" thickBot="1">
      <c r="A187" s="72"/>
      <c r="B187" s="136"/>
      <c r="C187" s="123" t="s">
        <v>109</v>
      </c>
      <c r="D187" s="137"/>
      <c r="E187" s="76"/>
      <c r="F187" s="77"/>
      <c r="G187" s="78"/>
    </row>
    <row r="188" spans="1:7" ht="15.75" thickBot="1">
      <c r="A188" s="79"/>
      <c r="B188" s="113"/>
      <c r="C188" s="114"/>
      <c r="D188" s="138"/>
      <c r="E188" s="83"/>
      <c r="F188" s="84" t="s">
        <v>116</v>
      </c>
      <c r="G188" s="85"/>
    </row>
    <row r="189" spans="1:7" ht="15.75" thickBot="1">
      <c r="A189" s="86"/>
      <c r="B189" s="11"/>
      <c r="C189" s="115"/>
      <c r="D189" s="139"/>
      <c r="E189" s="89"/>
      <c r="F189" s="90"/>
      <c r="G189" s="90"/>
    </row>
    <row r="190" spans="1:7" ht="15.75" thickBot="1">
      <c r="A190" s="79"/>
      <c r="B190" s="91" t="s">
        <v>117</v>
      </c>
      <c r="C190" s="92" t="s">
        <v>118</v>
      </c>
      <c r="D190" s="82"/>
      <c r="E190" s="93"/>
      <c r="F190" s="113"/>
      <c r="G190" s="116"/>
    </row>
    <row r="191" spans="1:7" ht="38.25">
      <c r="A191" s="95">
        <v>32</v>
      </c>
      <c r="B191" s="96">
        <v>601</v>
      </c>
      <c r="C191" s="131" t="s">
        <v>119</v>
      </c>
      <c r="D191" s="132"/>
      <c r="E191" s="99"/>
      <c r="F191" s="133"/>
      <c r="G191" s="134"/>
    </row>
    <row r="192" spans="1:7">
      <c r="A192" s="31"/>
      <c r="B192" s="49"/>
      <c r="C192" s="33" t="s">
        <v>120</v>
      </c>
      <c r="D192" s="34" t="s">
        <v>121</v>
      </c>
      <c r="E192" s="35">
        <v>17350</v>
      </c>
      <c r="F192" s="36"/>
      <c r="G192" s="37"/>
    </row>
    <row r="193" spans="1:7">
      <c r="A193" s="31">
        <v>33</v>
      </c>
      <c r="B193" s="32">
        <v>605</v>
      </c>
      <c r="C193" s="41" t="s">
        <v>122</v>
      </c>
      <c r="D193" s="34"/>
      <c r="E193" s="35"/>
      <c r="F193" s="36"/>
      <c r="G193" s="37"/>
    </row>
    <row r="194" spans="1:7" ht="38.25">
      <c r="A194" s="31"/>
      <c r="B194" s="32"/>
      <c r="C194" s="38" t="s">
        <v>123</v>
      </c>
      <c r="D194" s="34"/>
      <c r="E194" s="35"/>
      <c r="F194" s="36"/>
      <c r="G194" s="37"/>
    </row>
    <row r="195" spans="1:7">
      <c r="A195" s="31"/>
      <c r="B195" s="32"/>
      <c r="C195" s="38" t="s">
        <v>124</v>
      </c>
      <c r="D195" s="34" t="s">
        <v>125</v>
      </c>
      <c r="E195" s="35">
        <v>3</v>
      </c>
      <c r="F195" s="36"/>
      <c r="G195" s="37"/>
    </row>
    <row r="196" spans="1:7">
      <c r="A196" s="31">
        <v>34</v>
      </c>
      <c r="B196" s="32">
        <v>660</v>
      </c>
      <c r="C196" s="39" t="s">
        <v>126</v>
      </c>
      <c r="D196" s="34"/>
      <c r="E196" s="35"/>
      <c r="F196" s="49"/>
      <c r="G196" s="121"/>
    </row>
    <row r="197" spans="1:7" ht="51">
      <c r="A197" s="31"/>
      <c r="B197" s="32"/>
      <c r="C197" s="38" t="s">
        <v>127</v>
      </c>
      <c r="D197" s="34"/>
      <c r="E197" s="35"/>
      <c r="F197" s="49"/>
      <c r="G197" s="121"/>
    </row>
    <row r="198" spans="1:7">
      <c r="A198" s="31"/>
      <c r="B198" s="43"/>
      <c r="C198" s="38" t="s">
        <v>128</v>
      </c>
      <c r="D198" s="34" t="s">
        <v>125</v>
      </c>
      <c r="E198" s="35">
        <v>8</v>
      </c>
      <c r="F198" s="36"/>
      <c r="G198" s="37"/>
    </row>
    <row r="199" spans="1:7" ht="25.5">
      <c r="A199" s="31">
        <v>35</v>
      </c>
      <c r="B199" s="32">
        <v>670</v>
      </c>
      <c r="C199" s="41" t="s">
        <v>129</v>
      </c>
      <c r="D199" s="135"/>
      <c r="E199" s="35"/>
      <c r="F199" s="49"/>
      <c r="G199" s="121"/>
    </row>
    <row r="200" spans="1:7">
      <c r="A200" s="31"/>
      <c r="B200" s="49" t="s">
        <v>130</v>
      </c>
      <c r="C200" s="122" t="s">
        <v>131</v>
      </c>
      <c r="D200" s="135"/>
      <c r="E200" s="35"/>
      <c r="F200" s="49"/>
      <c r="G200" s="121"/>
    </row>
    <row r="201" spans="1:7" ht="164.25" customHeight="1">
      <c r="A201" s="31"/>
      <c r="B201" s="49" t="s">
        <v>132</v>
      </c>
      <c r="C201" s="345" t="s">
        <v>471</v>
      </c>
      <c r="D201" s="34" t="s">
        <v>28</v>
      </c>
      <c r="E201" s="35">
        <v>12.5</v>
      </c>
      <c r="F201" s="36"/>
      <c r="G201" s="37"/>
    </row>
    <row r="202" spans="1:7" ht="25.5">
      <c r="A202" s="31">
        <v>36</v>
      </c>
      <c r="B202" s="140">
        <v>672</v>
      </c>
      <c r="C202" s="41" t="s">
        <v>133</v>
      </c>
      <c r="D202" s="135"/>
      <c r="E202" s="35"/>
      <c r="F202" s="141"/>
      <c r="G202" s="142"/>
    </row>
    <row r="203" spans="1:7" ht="38.25">
      <c r="A203" s="31"/>
      <c r="B203" s="140"/>
      <c r="C203" s="33" t="s">
        <v>134</v>
      </c>
      <c r="D203" s="135"/>
      <c r="E203" s="35"/>
      <c r="F203" s="141"/>
      <c r="G203" s="142"/>
    </row>
    <row r="204" spans="1:7" ht="15.75" thickBot="1">
      <c r="A204" s="72"/>
      <c r="B204" s="73"/>
      <c r="C204" s="108" t="s">
        <v>135</v>
      </c>
      <c r="D204" s="137" t="s">
        <v>125</v>
      </c>
      <c r="E204" s="76">
        <v>43</v>
      </c>
      <c r="F204" s="143"/>
      <c r="G204" s="144"/>
    </row>
    <row r="205" spans="1:7" ht="15.75" thickBot="1">
      <c r="A205" s="79"/>
      <c r="B205" s="113"/>
      <c r="C205" s="114"/>
      <c r="D205" s="138"/>
      <c r="E205" s="83"/>
      <c r="F205" s="84" t="s">
        <v>136</v>
      </c>
      <c r="G205" s="85"/>
    </row>
    <row r="206" spans="1:7" ht="15.75" thickBot="1">
      <c r="A206" s="86"/>
      <c r="B206" s="11"/>
      <c r="C206" s="115"/>
      <c r="D206" s="139"/>
      <c r="E206" s="89"/>
      <c r="F206" s="90"/>
      <c r="G206" s="90"/>
    </row>
    <row r="207" spans="1:7" ht="15.75" thickBot="1">
      <c r="A207" s="79"/>
      <c r="B207" s="91" t="s">
        <v>137</v>
      </c>
      <c r="C207" s="92" t="s">
        <v>138</v>
      </c>
      <c r="D207" s="82"/>
      <c r="E207" s="93"/>
      <c r="F207" s="113"/>
      <c r="G207" s="116"/>
    </row>
    <row r="208" spans="1:7" ht="25.5">
      <c r="A208" s="95">
        <v>37</v>
      </c>
      <c r="B208" s="96">
        <v>710</v>
      </c>
      <c r="C208" s="346" t="s">
        <v>463</v>
      </c>
      <c r="D208" s="132"/>
      <c r="E208" s="99"/>
      <c r="F208" s="133"/>
      <c r="G208" s="101"/>
    </row>
    <row r="209" spans="1:7">
      <c r="A209" s="31"/>
      <c r="B209" s="43"/>
      <c r="C209" s="38" t="s">
        <v>231</v>
      </c>
      <c r="D209" s="34"/>
      <c r="E209" s="35"/>
      <c r="F209" s="36"/>
      <c r="G209" s="37"/>
    </row>
    <row r="210" spans="1:7">
      <c r="A210" s="31"/>
      <c r="B210" s="43"/>
      <c r="C210" s="33" t="s">
        <v>139</v>
      </c>
      <c r="D210" s="34" t="s">
        <v>28</v>
      </c>
      <c r="E210" s="35">
        <f>2*85.6</f>
        <v>171.2</v>
      </c>
      <c r="F210" s="36"/>
      <c r="G210" s="37"/>
    </row>
    <row r="211" spans="1:7" ht="102">
      <c r="A211" s="31">
        <v>38</v>
      </c>
      <c r="B211" s="145">
        <v>720</v>
      </c>
      <c r="C211" s="146" t="s">
        <v>427</v>
      </c>
      <c r="D211" s="34"/>
      <c r="E211" s="35"/>
      <c r="F211" s="36"/>
      <c r="G211" s="37"/>
    </row>
    <row r="212" spans="1:7">
      <c r="A212" s="31"/>
      <c r="B212" s="49"/>
      <c r="C212" s="38" t="s">
        <v>140</v>
      </c>
      <c r="D212" s="34"/>
      <c r="E212" s="35"/>
      <c r="F212" s="49"/>
      <c r="G212" s="37"/>
    </row>
    <row r="213" spans="1:7">
      <c r="A213" s="31"/>
      <c r="B213" s="49"/>
      <c r="C213" s="38" t="s">
        <v>273</v>
      </c>
      <c r="D213" s="34" t="s">
        <v>22</v>
      </c>
      <c r="E213" s="35">
        <f>76.25*8.5</f>
        <v>648.125</v>
      </c>
      <c r="F213" s="36"/>
      <c r="G213" s="37"/>
    </row>
    <row r="214" spans="1:7" ht="25.5">
      <c r="A214" s="31">
        <v>39</v>
      </c>
      <c r="B214" s="145">
        <v>730</v>
      </c>
      <c r="C214" s="146" t="s">
        <v>141</v>
      </c>
      <c r="D214" s="44"/>
      <c r="E214" s="45"/>
      <c r="F214" s="46"/>
      <c r="G214" s="37"/>
    </row>
    <row r="215" spans="1:7" ht="89.25">
      <c r="A215" s="31"/>
      <c r="B215" s="32"/>
      <c r="C215" s="57" t="s">
        <v>428</v>
      </c>
      <c r="D215" s="44"/>
      <c r="E215" s="45"/>
      <c r="F215" s="46"/>
      <c r="G215" s="37"/>
    </row>
    <row r="216" spans="1:7">
      <c r="A216" s="31"/>
      <c r="B216" s="49"/>
      <c r="C216" s="38" t="s">
        <v>274</v>
      </c>
      <c r="D216" s="34"/>
      <c r="E216" s="35"/>
      <c r="F216" s="36"/>
      <c r="G216" s="37"/>
    </row>
    <row r="217" spans="1:7">
      <c r="A217" s="31"/>
      <c r="B217" s="49"/>
      <c r="C217" s="38" t="s">
        <v>142</v>
      </c>
      <c r="D217" s="34" t="s">
        <v>22</v>
      </c>
      <c r="E217" s="35">
        <f>2*85.6*2.2</f>
        <v>376.64</v>
      </c>
      <c r="F217" s="36"/>
      <c r="G217" s="37"/>
    </row>
    <row r="218" spans="1:7" ht="38.25">
      <c r="A218" s="31">
        <v>40</v>
      </c>
      <c r="B218" s="32">
        <v>750</v>
      </c>
      <c r="C218" s="342" t="s">
        <v>429</v>
      </c>
      <c r="D218" s="34"/>
      <c r="E218" s="147"/>
      <c r="F218" s="148"/>
      <c r="G218" s="37"/>
    </row>
    <row r="219" spans="1:7">
      <c r="A219" s="31"/>
      <c r="B219" s="32"/>
      <c r="C219" s="38" t="s">
        <v>275</v>
      </c>
      <c r="D219" s="34"/>
      <c r="E219" s="147"/>
      <c r="F219" s="148"/>
      <c r="G219" s="37"/>
    </row>
    <row r="220" spans="1:7">
      <c r="A220" s="31"/>
      <c r="B220" s="32"/>
      <c r="C220" s="33" t="s">
        <v>143</v>
      </c>
      <c r="D220" s="34" t="s">
        <v>22</v>
      </c>
      <c r="E220" s="147">
        <f>5.9*76.25</f>
        <v>449.875</v>
      </c>
      <c r="F220" s="148"/>
      <c r="G220" s="37"/>
    </row>
    <row r="221" spans="1:7" ht="25.5">
      <c r="A221" s="31">
        <v>41</v>
      </c>
      <c r="B221" s="32">
        <v>760</v>
      </c>
      <c r="C221" s="39" t="s">
        <v>144</v>
      </c>
      <c r="D221" s="34"/>
      <c r="E221" s="147"/>
      <c r="F221" s="148"/>
      <c r="G221" s="37"/>
    </row>
    <row r="222" spans="1:7">
      <c r="A222" s="31"/>
      <c r="B222" s="32"/>
      <c r="C222" s="33" t="s">
        <v>145</v>
      </c>
      <c r="D222" s="34"/>
      <c r="E222" s="147"/>
      <c r="F222" s="148"/>
      <c r="G222" s="37"/>
    </row>
    <row r="223" spans="1:7">
      <c r="A223" s="31"/>
      <c r="B223" s="32"/>
      <c r="C223" s="38" t="s">
        <v>276</v>
      </c>
      <c r="D223" s="34"/>
      <c r="E223" s="147"/>
      <c r="F223" s="148"/>
      <c r="G223" s="37"/>
    </row>
    <row r="224" spans="1:7">
      <c r="A224" s="31"/>
      <c r="B224" s="32"/>
      <c r="C224" s="38" t="s">
        <v>146</v>
      </c>
      <c r="D224" s="34" t="s">
        <v>28</v>
      </c>
      <c r="E224" s="35">
        <f>9*85.6</f>
        <v>770.4</v>
      </c>
      <c r="F224" s="36"/>
      <c r="G224" s="37"/>
    </row>
    <row r="225" spans="1:7" ht="25.5">
      <c r="A225" s="31">
        <v>42</v>
      </c>
      <c r="B225" s="32">
        <v>765</v>
      </c>
      <c r="C225" s="39" t="s">
        <v>147</v>
      </c>
      <c r="D225" s="34"/>
      <c r="E225" s="35"/>
      <c r="F225" s="36"/>
      <c r="G225" s="37"/>
    </row>
    <row r="226" spans="1:7" ht="25.5">
      <c r="A226" s="31"/>
      <c r="B226" s="32"/>
      <c r="C226" s="33" t="s">
        <v>148</v>
      </c>
      <c r="D226" s="34"/>
      <c r="E226" s="35"/>
      <c r="F226" s="36"/>
      <c r="G226" s="37"/>
    </row>
    <row r="227" spans="1:7">
      <c r="A227" s="31"/>
      <c r="B227" s="32"/>
      <c r="C227" s="38" t="s">
        <v>149</v>
      </c>
      <c r="D227" s="34" t="s">
        <v>28</v>
      </c>
      <c r="E227" s="35">
        <v>76.25</v>
      </c>
      <c r="F227" s="46"/>
      <c r="G227" s="37"/>
    </row>
    <row r="228" spans="1:7">
      <c r="A228" s="31"/>
      <c r="B228" s="32">
        <v>770</v>
      </c>
      <c r="C228" s="39" t="s">
        <v>150</v>
      </c>
      <c r="D228" s="34"/>
      <c r="E228" s="35"/>
      <c r="F228" s="36"/>
      <c r="G228" s="37"/>
    </row>
    <row r="229" spans="1:7" ht="25.5">
      <c r="A229" s="31">
        <v>43</v>
      </c>
      <c r="B229" s="32" t="s">
        <v>151</v>
      </c>
      <c r="C229" s="33" t="s">
        <v>152</v>
      </c>
      <c r="D229" s="34"/>
      <c r="E229" s="35"/>
      <c r="F229" s="49"/>
      <c r="G229" s="121"/>
    </row>
    <row r="230" spans="1:7">
      <c r="A230" s="31"/>
      <c r="B230" s="32"/>
      <c r="C230" s="38" t="s">
        <v>277</v>
      </c>
      <c r="D230" s="34" t="s">
        <v>28</v>
      </c>
      <c r="E230" s="35">
        <f>2*7*1.55</f>
        <v>21.7</v>
      </c>
      <c r="F230" s="49"/>
      <c r="G230" s="121"/>
    </row>
    <row r="231" spans="1:7">
      <c r="A231" s="31">
        <v>44</v>
      </c>
      <c r="B231" s="32" t="s">
        <v>153</v>
      </c>
      <c r="C231" s="33" t="s">
        <v>154</v>
      </c>
      <c r="D231" s="34"/>
      <c r="E231" s="35"/>
      <c r="F231" s="49"/>
      <c r="G231" s="121"/>
    </row>
    <row r="232" spans="1:7">
      <c r="A232" s="31"/>
      <c r="B232" s="32"/>
      <c r="C232" s="38" t="s">
        <v>231</v>
      </c>
      <c r="D232" s="34" t="s">
        <v>28</v>
      </c>
      <c r="E232" s="35">
        <f>2*85.6</f>
        <v>171.2</v>
      </c>
      <c r="F232" s="49"/>
      <c r="G232" s="121"/>
    </row>
    <row r="233" spans="1:7" ht="25.5">
      <c r="A233" s="31">
        <v>45</v>
      </c>
      <c r="B233" s="32">
        <v>775</v>
      </c>
      <c r="C233" s="41" t="s">
        <v>155</v>
      </c>
      <c r="D233" s="34"/>
      <c r="E233" s="35"/>
      <c r="F233" s="49"/>
      <c r="G233" s="121"/>
    </row>
    <row r="234" spans="1:7">
      <c r="A234" s="31"/>
      <c r="B234" s="43"/>
      <c r="C234" s="38" t="s">
        <v>231</v>
      </c>
      <c r="D234" s="34"/>
      <c r="E234" s="35"/>
      <c r="F234" s="36"/>
      <c r="G234" s="37"/>
    </row>
    <row r="235" spans="1:7">
      <c r="A235" s="31"/>
      <c r="B235" s="49"/>
      <c r="C235" s="33" t="s">
        <v>156</v>
      </c>
      <c r="D235" s="135" t="s">
        <v>28</v>
      </c>
      <c r="E235" s="35">
        <f>2*85.6</f>
        <v>171.2</v>
      </c>
      <c r="F235" s="36"/>
      <c r="G235" s="37"/>
    </row>
    <row r="236" spans="1:7">
      <c r="A236" s="31">
        <v>46</v>
      </c>
      <c r="B236" s="32">
        <v>776</v>
      </c>
      <c r="C236" s="39" t="s">
        <v>157</v>
      </c>
      <c r="D236" s="135"/>
      <c r="E236" s="35"/>
      <c r="F236" s="36"/>
      <c r="G236" s="37"/>
    </row>
    <row r="237" spans="1:7">
      <c r="A237" s="31"/>
      <c r="B237" s="49"/>
      <c r="C237" s="38" t="s">
        <v>230</v>
      </c>
      <c r="D237" s="135"/>
      <c r="E237" s="35"/>
      <c r="F237" s="36"/>
      <c r="G237" s="37"/>
    </row>
    <row r="238" spans="1:7" ht="15.75" thickBot="1">
      <c r="A238" s="72"/>
      <c r="B238" s="73"/>
      <c r="C238" s="123">
        <v>2</v>
      </c>
      <c r="D238" s="137" t="s">
        <v>28</v>
      </c>
      <c r="E238" s="76">
        <f>2*9</f>
        <v>18</v>
      </c>
      <c r="F238" s="77"/>
      <c r="G238" s="78"/>
    </row>
    <row r="239" spans="1:7" ht="15.75" thickBot="1">
      <c r="A239" s="79"/>
      <c r="B239" s="113"/>
      <c r="C239" s="114"/>
      <c r="D239" s="149"/>
      <c r="E239" s="93"/>
      <c r="F239" s="84" t="s">
        <v>158</v>
      </c>
      <c r="G239" s="85"/>
    </row>
    <row r="240" spans="1:7" ht="15.75" thickBot="1">
      <c r="A240" s="86"/>
      <c r="B240" s="11"/>
      <c r="C240" s="115"/>
      <c r="D240" s="86"/>
      <c r="E240" s="10"/>
      <c r="F240" s="90"/>
      <c r="G240" s="90"/>
    </row>
    <row r="241" spans="1:7" ht="15.75" thickBot="1">
      <c r="A241" s="79"/>
      <c r="B241" s="91" t="s">
        <v>159</v>
      </c>
      <c r="C241" s="92" t="s">
        <v>160</v>
      </c>
      <c r="D241" s="82"/>
      <c r="E241" s="93"/>
      <c r="F241" s="113"/>
      <c r="G241" s="116"/>
    </row>
    <row r="242" spans="1:7" ht="25.5">
      <c r="A242" s="95">
        <v>47</v>
      </c>
      <c r="B242" s="96">
        <v>801</v>
      </c>
      <c r="C242" s="131" t="s">
        <v>161</v>
      </c>
      <c r="D242" s="132"/>
      <c r="E242" s="99"/>
      <c r="F242" s="133"/>
      <c r="G242" s="134"/>
    </row>
    <row r="243" spans="1:7" ht="51">
      <c r="A243" s="31"/>
      <c r="B243" s="71"/>
      <c r="C243" s="33" t="s">
        <v>162</v>
      </c>
      <c r="D243" s="135"/>
      <c r="E243" s="147"/>
      <c r="F243" s="150"/>
      <c r="G243" s="121"/>
    </row>
    <row r="244" spans="1:7">
      <c r="A244" s="31"/>
      <c r="B244" s="71"/>
      <c r="C244" s="38" t="s">
        <v>163</v>
      </c>
      <c r="D244" s="135" t="s">
        <v>125</v>
      </c>
      <c r="E244" s="147">
        <v>1300</v>
      </c>
      <c r="F244" s="150"/>
      <c r="G244" s="121"/>
    </row>
    <row r="245" spans="1:7">
      <c r="A245" s="31"/>
      <c r="B245" s="71"/>
      <c r="C245" s="38" t="s">
        <v>164</v>
      </c>
      <c r="D245" s="135" t="s">
        <v>125</v>
      </c>
      <c r="E245" s="147">
        <v>150</v>
      </c>
      <c r="F245" s="150"/>
      <c r="G245" s="121"/>
    </row>
    <row r="246" spans="1:7">
      <c r="A246" s="31"/>
      <c r="B246" s="71"/>
      <c r="C246" s="38" t="s">
        <v>165</v>
      </c>
      <c r="D246" s="135" t="s">
        <v>125</v>
      </c>
      <c r="E246" s="147">
        <v>100</v>
      </c>
      <c r="F246" s="150"/>
      <c r="G246" s="121"/>
    </row>
    <row r="247" spans="1:7">
      <c r="A247" s="31"/>
      <c r="B247" s="71"/>
      <c r="C247" s="38" t="s">
        <v>166</v>
      </c>
      <c r="D247" s="135" t="s">
        <v>125</v>
      </c>
      <c r="E247" s="147">
        <v>60</v>
      </c>
      <c r="F247" s="150"/>
      <c r="G247" s="121"/>
    </row>
    <row r="248" spans="1:7" ht="25.5">
      <c r="A248" s="31">
        <v>48</v>
      </c>
      <c r="B248" s="32">
        <v>802</v>
      </c>
      <c r="C248" s="39" t="s">
        <v>167</v>
      </c>
      <c r="D248" s="135"/>
      <c r="E248" s="35"/>
      <c r="F248" s="36"/>
      <c r="G248" s="37"/>
    </row>
    <row r="249" spans="1:7">
      <c r="A249" s="31"/>
      <c r="B249" s="32"/>
      <c r="C249" s="38" t="s">
        <v>168</v>
      </c>
      <c r="D249" s="34" t="s">
        <v>28</v>
      </c>
      <c r="E249" s="35">
        <v>137</v>
      </c>
      <c r="F249" s="36"/>
      <c r="G249" s="37"/>
    </row>
    <row r="250" spans="1:7" ht="25.5">
      <c r="A250" s="31"/>
      <c r="B250" s="32"/>
      <c r="C250" s="38" t="s">
        <v>169</v>
      </c>
      <c r="D250" s="34" t="s">
        <v>28</v>
      </c>
      <c r="E250" s="35">
        <v>137</v>
      </c>
      <c r="F250" s="36"/>
      <c r="G250" s="37"/>
    </row>
    <row r="251" spans="1:7" ht="25.5">
      <c r="A251" s="31">
        <v>49</v>
      </c>
      <c r="B251" s="32">
        <v>825</v>
      </c>
      <c r="C251" s="39" t="s">
        <v>170</v>
      </c>
      <c r="D251" s="135"/>
      <c r="E251" s="35"/>
      <c r="F251" s="36"/>
      <c r="G251" s="37"/>
    </row>
    <row r="252" spans="1:7" ht="25.5">
      <c r="A252" s="31"/>
      <c r="B252" s="49"/>
      <c r="C252" s="38" t="s">
        <v>278</v>
      </c>
      <c r="D252" s="135"/>
      <c r="E252" s="35"/>
      <c r="F252" s="36"/>
      <c r="G252" s="37"/>
    </row>
    <row r="253" spans="1:7">
      <c r="A253" s="31"/>
      <c r="B253" s="49"/>
      <c r="C253" s="33" t="s">
        <v>109</v>
      </c>
      <c r="D253" s="34" t="s">
        <v>31</v>
      </c>
      <c r="E253" s="35">
        <f>0.48*1.15*(2*1.1+1)+2*0.5*0.5*0.3</f>
        <v>1.9163999999999999</v>
      </c>
      <c r="F253" s="36"/>
      <c r="G253" s="37"/>
    </row>
    <row r="254" spans="1:7">
      <c r="A254" s="31"/>
      <c r="B254" s="49"/>
      <c r="C254" s="38" t="s">
        <v>171</v>
      </c>
      <c r="D254" s="34"/>
      <c r="E254" s="35"/>
      <c r="F254" s="36"/>
      <c r="G254" s="37"/>
    </row>
    <row r="255" spans="1:7">
      <c r="A255" s="31"/>
      <c r="B255" s="49"/>
      <c r="C255" s="38" t="s">
        <v>279</v>
      </c>
      <c r="D255" s="34"/>
      <c r="E255" s="35"/>
      <c r="F255" s="36"/>
      <c r="G255" s="37"/>
    </row>
    <row r="256" spans="1:7">
      <c r="A256" s="31"/>
      <c r="B256" s="49"/>
      <c r="C256" s="33" t="s">
        <v>109</v>
      </c>
      <c r="D256" s="34" t="s">
        <v>31</v>
      </c>
      <c r="E256" s="35">
        <f>2*0.2*1.9*1.15</f>
        <v>0.87399999999999989</v>
      </c>
      <c r="F256" s="36"/>
      <c r="G256" s="37"/>
    </row>
    <row r="257" spans="1:7" ht="38.25">
      <c r="A257" s="31">
        <v>50</v>
      </c>
      <c r="B257" s="32">
        <v>850</v>
      </c>
      <c r="C257" s="69" t="s">
        <v>172</v>
      </c>
      <c r="D257" s="135"/>
      <c r="E257" s="35"/>
      <c r="F257" s="36"/>
      <c r="G257" s="37"/>
    </row>
    <row r="258" spans="1:7" ht="165.75">
      <c r="A258" s="31"/>
      <c r="B258" s="32"/>
      <c r="C258" s="66" t="s">
        <v>173</v>
      </c>
      <c r="D258" s="135"/>
      <c r="E258" s="35"/>
      <c r="F258" s="36"/>
      <c r="G258" s="37"/>
    </row>
    <row r="259" spans="1:7">
      <c r="A259" s="31"/>
      <c r="B259" s="49"/>
      <c r="C259" s="38" t="s">
        <v>280</v>
      </c>
      <c r="D259" s="135"/>
      <c r="E259" s="35"/>
      <c r="F259" s="36"/>
      <c r="G259" s="37"/>
    </row>
    <row r="260" spans="1:7">
      <c r="A260" s="31"/>
      <c r="B260" s="49"/>
      <c r="C260" s="33" t="s">
        <v>174</v>
      </c>
      <c r="D260" s="34" t="s">
        <v>22</v>
      </c>
      <c r="E260" s="35">
        <f>(1*0.5+0.5*3.5)+8*0.225</f>
        <v>4.05</v>
      </c>
      <c r="F260" s="36"/>
      <c r="G260" s="37"/>
    </row>
    <row r="261" spans="1:7">
      <c r="A261" s="31">
        <v>51</v>
      </c>
      <c r="B261" s="32">
        <v>851</v>
      </c>
      <c r="C261" s="151" t="s">
        <v>175</v>
      </c>
      <c r="D261" s="135"/>
      <c r="E261" s="35"/>
      <c r="F261" s="36"/>
      <c r="G261" s="37"/>
    </row>
    <row r="262" spans="1:7" ht="52.5">
      <c r="A262" s="31"/>
      <c r="B262" s="32"/>
      <c r="C262" s="66" t="s">
        <v>176</v>
      </c>
      <c r="D262" s="135"/>
      <c r="E262" s="35"/>
      <c r="F262" s="36"/>
      <c r="G262" s="37"/>
    </row>
    <row r="263" spans="1:7">
      <c r="A263" s="31"/>
      <c r="B263" s="32"/>
      <c r="C263" s="66" t="s">
        <v>42</v>
      </c>
      <c r="D263" s="135"/>
      <c r="E263" s="35"/>
      <c r="F263" s="36"/>
      <c r="G263" s="37"/>
    </row>
    <row r="264" spans="1:7">
      <c r="A264" s="31"/>
      <c r="B264" s="49"/>
      <c r="C264" s="38" t="s">
        <v>281</v>
      </c>
      <c r="D264" s="34" t="s">
        <v>22</v>
      </c>
      <c r="E264" s="35">
        <f>4*8+3.5*8</f>
        <v>60</v>
      </c>
      <c r="F264" s="36"/>
      <c r="G264" s="37"/>
    </row>
    <row r="265" spans="1:7">
      <c r="A265" s="31"/>
      <c r="B265" s="32"/>
      <c r="C265" s="66" t="s">
        <v>177</v>
      </c>
      <c r="D265" s="135"/>
      <c r="E265" s="35"/>
      <c r="F265" s="36"/>
      <c r="G265" s="37"/>
    </row>
    <row r="266" spans="1:7">
      <c r="A266" s="31"/>
      <c r="B266" s="49"/>
      <c r="C266" s="38" t="s">
        <v>282</v>
      </c>
      <c r="D266" s="34" t="s">
        <v>22</v>
      </c>
      <c r="E266" s="35">
        <f>5.2*2.6*7</f>
        <v>94.640000000000015</v>
      </c>
      <c r="F266" s="36"/>
      <c r="G266" s="37"/>
    </row>
    <row r="267" spans="1:7" ht="38.25">
      <c r="A267" s="31">
        <v>52</v>
      </c>
      <c r="B267" s="32">
        <v>852</v>
      </c>
      <c r="C267" s="69" t="s">
        <v>179</v>
      </c>
      <c r="D267" s="135"/>
      <c r="E267" s="35"/>
      <c r="F267" s="36"/>
      <c r="G267" s="37"/>
    </row>
    <row r="268" spans="1:7" ht="191.25">
      <c r="A268" s="31"/>
      <c r="B268" s="32"/>
      <c r="C268" s="66" t="s">
        <v>180</v>
      </c>
      <c r="D268" s="135"/>
      <c r="E268" s="35"/>
      <c r="F268" s="36"/>
      <c r="G268" s="37"/>
    </row>
    <row r="269" spans="1:7">
      <c r="A269" s="31"/>
      <c r="B269" s="49"/>
      <c r="C269" s="38" t="s">
        <v>258</v>
      </c>
      <c r="D269" s="135"/>
      <c r="E269" s="35"/>
      <c r="F269" s="36"/>
      <c r="G269" s="37"/>
    </row>
    <row r="270" spans="1:7">
      <c r="A270" s="31"/>
      <c r="B270" s="49"/>
      <c r="C270" s="33" t="s">
        <v>174</v>
      </c>
      <c r="D270" s="34" t="s">
        <v>22</v>
      </c>
      <c r="E270" s="35">
        <f>4*8+3.5*8</f>
        <v>60</v>
      </c>
      <c r="F270" s="36"/>
      <c r="G270" s="37"/>
    </row>
    <row r="271" spans="1:7" ht="25.5">
      <c r="A271" s="31">
        <v>53</v>
      </c>
      <c r="B271" s="32">
        <v>853</v>
      </c>
      <c r="C271" s="69" t="s">
        <v>181</v>
      </c>
      <c r="D271" s="135"/>
      <c r="E271" s="35"/>
      <c r="F271" s="36"/>
      <c r="G271" s="37"/>
    </row>
    <row r="272" spans="1:7" ht="162" customHeight="1">
      <c r="A272" s="31"/>
      <c r="B272" s="32"/>
      <c r="C272" s="60" t="s">
        <v>430</v>
      </c>
      <c r="D272" s="135"/>
      <c r="E272" s="35"/>
      <c r="F272" s="36"/>
      <c r="G272" s="37"/>
    </row>
    <row r="273" spans="1:7">
      <c r="A273" s="31"/>
      <c r="B273" s="32"/>
      <c r="C273" s="66" t="s">
        <v>45</v>
      </c>
      <c r="D273" s="135"/>
      <c r="E273" s="35"/>
      <c r="F273" s="36"/>
      <c r="G273" s="37"/>
    </row>
    <row r="274" spans="1:7">
      <c r="A274" s="31"/>
      <c r="B274" s="49"/>
      <c r="C274" s="38" t="s">
        <v>283</v>
      </c>
      <c r="D274" s="34" t="s">
        <v>22</v>
      </c>
      <c r="E274" s="35">
        <f>7*0.1</f>
        <v>0.70000000000000007</v>
      </c>
      <c r="F274" s="36"/>
      <c r="G274" s="37"/>
    </row>
    <row r="275" spans="1:7">
      <c r="A275" s="31"/>
      <c r="B275" s="32"/>
      <c r="C275" s="66" t="s">
        <v>55</v>
      </c>
      <c r="D275" s="135"/>
      <c r="E275" s="35"/>
      <c r="F275" s="36"/>
      <c r="G275" s="37"/>
    </row>
    <row r="276" spans="1:7">
      <c r="A276" s="31"/>
      <c r="B276" s="49"/>
      <c r="C276" s="38" t="s">
        <v>241</v>
      </c>
      <c r="D276" s="34" t="s">
        <v>22</v>
      </c>
      <c r="E276" s="35">
        <f>4+2+1+1+1+3+2+1+3+2</f>
        <v>20</v>
      </c>
      <c r="F276" s="36"/>
      <c r="G276" s="37"/>
    </row>
    <row r="277" spans="1:7">
      <c r="A277" s="31"/>
      <c r="B277" s="32"/>
      <c r="C277" s="66" t="s">
        <v>182</v>
      </c>
      <c r="D277" s="135"/>
      <c r="E277" s="35"/>
      <c r="F277" s="36"/>
      <c r="G277" s="37"/>
    </row>
    <row r="278" spans="1:7">
      <c r="A278" s="31"/>
      <c r="B278" s="49"/>
      <c r="C278" s="38" t="s">
        <v>284</v>
      </c>
      <c r="D278" s="34" t="s">
        <v>22</v>
      </c>
      <c r="E278" s="35">
        <f>4*1.25</f>
        <v>5</v>
      </c>
      <c r="F278" s="36"/>
      <c r="G278" s="37"/>
    </row>
    <row r="279" spans="1:7" ht="25.5">
      <c r="A279" s="31">
        <v>54</v>
      </c>
      <c r="B279" s="32">
        <v>854</v>
      </c>
      <c r="C279" s="69" t="s">
        <v>183</v>
      </c>
      <c r="D279" s="135"/>
      <c r="E279" s="35"/>
      <c r="F279" s="36"/>
      <c r="G279" s="37"/>
    </row>
    <row r="280" spans="1:7" ht="129">
      <c r="A280" s="31"/>
      <c r="B280" s="32"/>
      <c r="C280" s="66" t="s">
        <v>433</v>
      </c>
      <c r="D280" s="135"/>
      <c r="E280" s="35"/>
      <c r="F280" s="36"/>
      <c r="G280" s="37"/>
    </row>
    <row r="281" spans="1:7">
      <c r="A281" s="31"/>
      <c r="B281" s="32"/>
      <c r="C281" s="66" t="s">
        <v>45</v>
      </c>
      <c r="D281" s="135"/>
      <c r="E281" s="35"/>
      <c r="F281" s="36"/>
      <c r="G281" s="37"/>
    </row>
    <row r="282" spans="1:7" ht="25.5">
      <c r="A282" s="31"/>
      <c r="B282" s="49"/>
      <c r="C282" s="38" t="s">
        <v>285</v>
      </c>
      <c r="D282" s="34" t="s">
        <v>22</v>
      </c>
      <c r="E282" s="35">
        <f>5.8*6.7*2+0.8*6.7*2+5.8*5.7*2+0.8*5.7*2</f>
        <v>163.68</v>
      </c>
      <c r="F282" s="36"/>
      <c r="G282" s="37"/>
    </row>
    <row r="283" spans="1:7">
      <c r="A283" s="31"/>
      <c r="B283" s="32"/>
      <c r="C283" s="66" t="s">
        <v>55</v>
      </c>
      <c r="D283" s="135"/>
      <c r="E283" s="35"/>
      <c r="F283" s="36"/>
      <c r="G283" s="37"/>
    </row>
    <row r="284" spans="1:7">
      <c r="A284" s="31"/>
      <c r="B284" s="49"/>
      <c r="C284" s="38" t="s">
        <v>286</v>
      </c>
      <c r="D284" s="34" t="s">
        <v>22</v>
      </c>
      <c r="E284" s="35">
        <f>5.2*2.6*9+6.5*2.6*8</f>
        <v>256.88</v>
      </c>
      <c r="F284" s="36"/>
      <c r="G284" s="37"/>
    </row>
    <row r="285" spans="1:7">
      <c r="A285" s="31"/>
      <c r="B285" s="32"/>
      <c r="C285" s="66" t="s">
        <v>182</v>
      </c>
      <c r="D285" s="135"/>
      <c r="E285" s="35"/>
      <c r="F285" s="36"/>
      <c r="G285" s="37"/>
    </row>
    <row r="286" spans="1:7" ht="25.5">
      <c r="A286" s="31"/>
      <c r="B286" s="49"/>
      <c r="C286" s="38" t="s">
        <v>287</v>
      </c>
      <c r="D286" s="34" t="s">
        <v>22</v>
      </c>
      <c r="E286" s="35">
        <f>((4.6+3.3)*0.5*1.3*2*4+(4.1+2.8)*0.5*1.3*2*4)*2</f>
        <v>153.91999999999999</v>
      </c>
      <c r="F286" s="36"/>
      <c r="G286" s="37"/>
    </row>
    <row r="287" spans="1:7">
      <c r="A287" s="31">
        <v>55</v>
      </c>
      <c r="B287" s="32">
        <v>855</v>
      </c>
      <c r="C287" s="69" t="s">
        <v>184</v>
      </c>
      <c r="D287" s="135"/>
      <c r="E287" s="35"/>
      <c r="F287" s="36"/>
      <c r="G287" s="37"/>
    </row>
    <row r="288" spans="1:7" ht="116.25" customHeight="1">
      <c r="A288" s="31"/>
      <c r="B288" s="32"/>
      <c r="C288" s="66" t="s">
        <v>431</v>
      </c>
      <c r="D288" s="135"/>
      <c r="E288" s="35"/>
      <c r="F288" s="36"/>
      <c r="G288" s="37"/>
    </row>
    <row r="289" spans="1:7">
      <c r="A289" s="31"/>
      <c r="B289" s="32"/>
      <c r="C289" s="66" t="s">
        <v>45</v>
      </c>
      <c r="D289" s="135"/>
      <c r="E289" s="35"/>
      <c r="F289" s="36"/>
      <c r="G289" s="37"/>
    </row>
    <row r="290" spans="1:7" ht="25.5">
      <c r="A290" s="31"/>
      <c r="B290" s="49"/>
      <c r="C290" s="38" t="s">
        <v>285</v>
      </c>
      <c r="D290" s="34" t="s">
        <v>22</v>
      </c>
      <c r="E290" s="35">
        <f>5.8*6.7*2+0.8*6.7*2+5.8*5.7*2+0.8*5.7*2</f>
        <v>163.68</v>
      </c>
      <c r="F290" s="36"/>
      <c r="G290" s="37"/>
    </row>
    <row r="291" spans="1:7">
      <c r="A291" s="31"/>
      <c r="B291" s="32"/>
      <c r="C291" s="66" t="s">
        <v>55</v>
      </c>
      <c r="D291" s="135"/>
      <c r="E291" s="35"/>
      <c r="F291" s="36"/>
      <c r="G291" s="37"/>
    </row>
    <row r="292" spans="1:7">
      <c r="A292" s="31"/>
      <c r="B292" s="49"/>
      <c r="C292" s="38" t="s">
        <v>286</v>
      </c>
      <c r="D292" s="34" t="s">
        <v>22</v>
      </c>
      <c r="E292" s="35">
        <f>5.2*2.6*9+6.5*2.6*8</f>
        <v>256.88</v>
      </c>
      <c r="F292" s="36"/>
      <c r="G292" s="37"/>
    </row>
    <row r="293" spans="1:7">
      <c r="A293" s="31"/>
      <c r="B293" s="32"/>
      <c r="C293" s="66" t="s">
        <v>182</v>
      </c>
      <c r="D293" s="135"/>
      <c r="E293" s="35"/>
      <c r="F293" s="36"/>
      <c r="G293" s="37"/>
    </row>
    <row r="294" spans="1:7" ht="25.5">
      <c r="A294" s="31"/>
      <c r="B294" s="49"/>
      <c r="C294" s="38" t="s">
        <v>287</v>
      </c>
      <c r="D294" s="34" t="s">
        <v>22</v>
      </c>
      <c r="E294" s="35">
        <f>((4.6+3.3)*0.5*1.3*2*4+(4.1+2.8)*0.5*1.3*2*4)*2</f>
        <v>153.91999999999999</v>
      </c>
      <c r="F294" s="36"/>
      <c r="G294" s="37"/>
    </row>
    <row r="295" spans="1:7" ht="25.5">
      <c r="A295" s="31">
        <v>56</v>
      </c>
      <c r="B295" s="32">
        <v>856</v>
      </c>
      <c r="C295" s="69" t="s">
        <v>186</v>
      </c>
      <c r="D295" s="135" t="s">
        <v>121</v>
      </c>
      <c r="E295" s="35"/>
      <c r="F295" s="36"/>
      <c r="G295" s="37"/>
    </row>
    <row r="296" spans="1:7" ht="156" customHeight="1">
      <c r="A296" s="31"/>
      <c r="B296" s="32"/>
      <c r="C296" s="66" t="s">
        <v>432</v>
      </c>
      <c r="D296" s="135"/>
      <c r="E296" s="35"/>
      <c r="F296" s="36"/>
      <c r="G296" s="37"/>
    </row>
    <row r="297" spans="1:7">
      <c r="A297" s="31"/>
      <c r="B297" s="32"/>
      <c r="C297" s="66" t="s">
        <v>187</v>
      </c>
      <c r="D297" s="135"/>
      <c r="E297" s="35"/>
      <c r="F297" s="36"/>
      <c r="G297" s="37"/>
    </row>
    <row r="298" spans="1:7">
      <c r="A298" s="31"/>
      <c r="B298" s="49"/>
      <c r="C298" s="38" t="s">
        <v>288</v>
      </c>
      <c r="D298" s="135" t="s">
        <v>121</v>
      </c>
      <c r="E298" s="35">
        <f>56.7*6.47</f>
        <v>366.84899999999999</v>
      </c>
      <c r="F298" s="36"/>
      <c r="G298" s="37"/>
    </row>
    <row r="299" spans="1:7">
      <c r="A299" s="31"/>
      <c r="B299" s="32"/>
      <c r="C299" s="66" t="s">
        <v>188</v>
      </c>
      <c r="D299" s="135"/>
      <c r="E299" s="35"/>
      <c r="F299" s="36"/>
      <c r="G299" s="37"/>
    </row>
    <row r="300" spans="1:7">
      <c r="A300" s="31"/>
      <c r="B300" s="49"/>
      <c r="C300" s="38" t="s">
        <v>289</v>
      </c>
      <c r="D300" s="135" t="s">
        <v>121</v>
      </c>
      <c r="E300" s="35">
        <f>8.9*2.29</f>
        <v>20.381</v>
      </c>
      <c r="F300" s="36"/>
      <c r="G300" s="37"/>
    </row>
    <row r="301" spans="1:7">
      <c r="A301" s="31"/>
      <c r="B301" s="32"/>
      <c r="C301" s="66" t="s">
        <v>189</v>
      </c>
      <c r="D301" s="135"/>
      <c r="E301" s="35"/>
      <c r="F301" s="36"/>
      <c r="G301" s="37"/>
    </row>
    <row r="302" spans="1:7">
      <c r="A302" s="31"/>
      <c r="B302" s="49"/>
      <c r="C302" s="38" t="s">
        <v>290</v>
      </c>
      <c r="D302" s="135" t="s">
        <v>121</v>
      </c>
      <c r="E302" s="35">
        <f>217.5*0.64</f>
        <v>139.20000000000002</v>
      </c>
      <c r="F302" s="36"/>
      <c r="G302" s="37"/>
    </row>
    <row r="303" spans="1:7">
      <c r="A303" s="31"/>
      <c r="B303" s="49"/>
      <c r="C303" s="38" t="s">
        <v>190</v>
      </c>
      <c r="D303" s="135"/>
      <c r="E303" s="35"/>
      <c r="F303" s="36"/>
      <c r="G303" s="37"/>
    </row>
    <row r="304" spans="1:7">
      <c r="A304" s="31"/>
      <c r="B304" s="49"/>
      <c r="C304" s="38" t="s">
        <v>291</v>
      </c>
      <c r="D304" s="135" t="s">
        <v>121</v>
      </c>
      <c r="E304" s="35">
        <f>8.93*4.47</f>
        <v>39.917099999999998</v>
      </c>
      <c r="F304" s="36"/>
      <c r="G304" s="37"/>
    </row>
    <row r="305" spans="1:7" ht="25.5">
      <c r="A305" s="31">
        <v>57</v>
      </c>
      <c r="B305" s="32">
        <v>857</v>
      </c>
      <c r="C305" s="69" t="s">
        <v>191</v>
      </c>
      <c r="D305" s="135"/>
      <c r="E305" s="35"/>
      <c r="F305" s="36"/>
      <c r="G305" s="37"/>
    </row>
    <row r="306" spans="1:7" ht="110.25" customHeight="1">
      <c r="A306" s="31"/>
      <c r="B306" s="32"/>
      <c r="C306" s="66" t="s">
        <v>434</v>
      </c>
      <c r="D306" s="135"/>
      <c r="E306" s="35"/>
      <c r="F306" s="36"/>
      <c r="G306" s="37"/>
    </row>
    <row r="307" spans="1:7">
      <c r="A307" s="31"/>
      <c r="B307" s="32"/>
      <c r="C307" s="66" t="s">
        <v>45</v>
      </c>
      <c r="D307" s="135"/>
      <c r="E307" s="35"/>
      <c r="F307" s="36"/>
      <c r="G307" s="37"/>
    </row>
    <row r="308" spans="1:7">
      <c r="A308" s="31"/>
      <c r="B308" s="49"/>
      <c r="C308" s="38" t="s">
        <v>292</v>
      </c>
      <c r="D308" s="135" t="s">
        <v>22</v>
      </c>
      <c r="E308" s="35">
        <f>7*0.1</f>
        <v>0.70000000000000007</v>
      </c>
      <c r="F308" s="36"/>
      <c r="G308" s="37"/>
    </row>
    <row r="309" spans="1:7" ht="25.5">
      <c r="A309" s="31"/>
      <c r="B309" s="32"/>
      <c r="C309" s="66" t="s">
        <v>192</v>
      </c>
      <c r="D309" s="135"/>
      <c r="E309" s="35"/>
      <c r="F309" s="36"/>
      <c r="G309" s="37"/>
    </row>
    <row r="310" spans="1:7">
      <c r="A310" s="31"/>
      <c r="B310" s="49"/>
      <c r="C310" s="38" t="s">
        <v>293</v>
      </c>
      <c r="D310" s="135" t="s">
        <v>22</v>
      </c>
      <c r="E310" s="35">
        <f>135*0.07</f>
        <v>9.4500000000000011</v>
      </c>
      <c r="F310" s="36"/>
      <c r="G310" s="37"/>
    </row>
    <row r="311" spans="1:7" ht="25.5">
      <c r="A311" s="31"/>
      <c r="B311" s="32"/>
      <c r="C311" s="66" t="s">
        <v>193</v>
      </c>
      <c r="D311" s="135"/>
      <c r="E311" s="35"/>
      <c r="F311" s="36"/>
      <c r="G311" s="37"/>
    </row>
    <row r="312" spans="1:7">
      <c r="A312" s="31"/>
      <c r="B312" s="49"/>
      <c r="C312" s="38" t="s">
        <v>294</v>
      </c>
      <c r="D312" s="135" t="s">
        <v>22</v>
      </c>
      <c r="E312" s="35">
        <f>75.4*0.4*3</f>
        <v>90.480000000000018</v>
      </c>
      <c r="F312" s="36"/>
      <c r="G312" s="37"/>
    </row>
    <row r="313" spans="1:7" ht="51">
      <c r="A313" s="31"/>
      <c r="B313" s="32"/>
      <c r="C313" s="66" t="s">
        <v>194</v>
      </c>
      <c r="D313" s="135"/>
      <c r="E313" s="35"/>
      <c r="F313" s="36"/>
      <c r="G313" s="37"/>
    </row>
    <row r="314" spans="1:7" ht="25.5">
      <c r="A314" s="31"/>
      <c r="B314" s="49"/>
      <c r="C314" s="38" t="s">
        <v>295</v>
      </c>
      <c r="D314" s="135" t="s">
        <v>22</v>
      </c>
      <c r="E314" s="35">
        <f>(2*2.6*0.25)*2+14*0.25*3*2+7*0.5*3</f>
        <v>34.1</v>
      </c>
      <c r="F314" s="36"/>
      <c r="G314" s="37"/>
    </row>
    <row r="315" spans="1:7">
      <c r="A315" s="31"/>
      <c r="B315" s="32"/>
      <c r="C315" s="66" t="s">
        <v>55</v>
      </c>
      <c r="D315" s="135"/>
      <c r="E315" s="35"/>
      <c r="F315" s="36"/>
      <c r="G315" s="37"/>
    </row>
    <row r="316" spans="1:7">
      <c r="A316" s="31"/>
      <c r="B316" s="49"/>
      <c r="C316" s="38" t="s">
        <v>296</v>
      </c>
      <c r="D316" s="135" t="s">
        <v>22</v>
      </c>
      <c r="E316" s="35">
        <f>(4+2+1+1+1+3+2+1+3+2)*0.5</f>
        <v>10</v>
      </c>
      <c r="F316" s="36"/>
      <c r="G316" s="37"/>
    </row>
    <row r="317" spans="1:7">
      <c r="A317" s="31"/>
      <c r="B317" s="32"/>
      <c r="C317" s="66" t="s">
        <v>195</v>
      </c>
      <c r="D317" s="135"/>
      <c r="E317" s="35"/>
      <c r="F317" s="36"/>
      <c r="G317" s="37"/>
    </row>
    <row r="318" spans="1:7">
      <c r="A318" s="31"/>
      <c r="B318" s="49"/>
      <c r="C318" s="38" t="s">
        <v>297</v>
      </c>
      <c r="D318" s="135" t="s">
        <v>22</v>
      </c>
      <c r="E318" s="35">
        <f>1*75.4*2*0.05</f>
        <v>7.5400000000000009</v>
      </c>
      <c r="F318" s="36"/>
      <c r="G318" s="37"/>
    </row>
    <row r="319" spans="1:7">
      <c r="A319" s="31"/>
      <c r="B319" s="32"/>
      <c r="C319" s="66" t="s">
        <v>56</v>
      </c>
      <c r="D319" s="135"/>
      <c r="E319" s="35"/>
      <c r="F319" s="36"/>
      <c r="G319" s="37"/>
    </row>
    <row r="320" spans="1:7">
      <c r="A320" s="31"/>
      <c r="B320" s="49"/>
      <c r="C320" s="38" t="s">
        <v>298</v>
      </c>
      <c r="D320" s="135" t="s">
        <v>22</v>
      </c>
      <c r="E320" s="35">
        <f>5*0.5</f>
        <v>2.5</v>
      </c>
      <c r="F320" s="36"/>
      <c r="G320" s="37"/>
    </row>
    <row r="321" spans="1:7" ht="38.25">
      <c r="A321" s="31">
        <v>58</v>
      </c>
      <c r="B321" s="32">
        <v>858</v>
      </c>
      <c r="C321" s="69" t="s">
        <v>196</v>
      </c>
      <c r="D321" s="135"/>
      <c r="E321" s="35"/>
      <c r="F321" s="36"/>
      <c r="G321" s="37"/>
    </row>
    <row r="322" spans="1:7" ht="178.5">
      <c r="A322" s="31"/>
      <c r="B322" s="32"/>
      <c r="C322" s="60" t="s">
        <v>197</v>
      </c>
      <c r="D322" s="135"/>
      <c r="E322" s="35"/>
      <c r="F322" s="36"/>
      <c r="G322" s="37"/>
    </row>
    <row r="323" spans="1:7" ht="25.5">
      <c r="A323" s="31"/>
      <c r="B323" s="49"/>
      <c r="C323" s="38" t="s">
        <v>299</v>
      </c>
      <c r="D323" s="135"/>
      <c r="E323" s="35"/>
      <c r="F323" s="36"/>
      <c r="G323" s="37"/>
    </row>
    <row r="324" spans="1:7">
      <c r="A324" s="31"/>
      <c r="B324" s="49"/>
      <c r="C324" s="33" t="s">
        <v>198</v>
      </c>
      <c r="D324" s="34" t="s">
        <v>31</v>
      </c>
      <c r="E324" s="35">
        <f>(3.1+4.3+4.3+5.9+5.9+3.2+3.5)*(0.4*0.12+2*1.185*0.035)</f>
        <v>3.9546900000000003</v>
      </c>
      <c r="F324" s="36"/>
      <c r="G324" s="37"/>
    </row>
    <row r="325" spans="1:7" ht="38.25">
      <c r="A325" s="31">
        <v>59</v>
      </c>
      <c r="B325" s="32">
        <v>859</v>
      </c>
      <c r="C325" s="69" t="s">
        <v>199</v>
      </c>
      <c r="D325" s="135"/>
      <c r="E325" s="35"/>
      <c r="F325" s="36"/>
      <c r="G325" s="37"/>
    </row>
    <row r="326" spans="1:7" ht="153">
      <c r="A326" s="31"/>
      <c r="B326" s="32"/>
      <c r="C326" s="60" t="s">
        <v>443</v>
      </c>
      <c r="D326" s="135"/>
      <c r="E326" s="35"/>
      <c r="F326" s="36"/>
      <c r="G326" s="37"/>
    </row>
    <row r="327" spans="1:7">
      <c r="A327" s="31"/>
      <c r="B327" s="32"/>
      <c r="C327" s="66" t="s">
        <v>200</v>
      </c>
      <c r="D327" s="135"/>
      <c r="E327" s="35"/>
      <c r="F327" s="36"/>
      <c r="G327" s="37"/>
    </row>
    <row r="328" spans="1:7" ht="25.5">
      <c r="A328" s="31"/>
      <c r="B328" s="49"/>
      <c r="C328" s="38" t="s">
        <v>300</v>
      </c>
      <c r="D328" s="34" t="s">
        <v>31</v>
      </c>
      <c r="E328" s="35">
        <f>(75.4*2-30)*0.035-52.2*0.4*0.035+75.4*0.035</f>
        <v>6.1362000000000005</v>
      </c>
      <c r="F328" s="36"/>
      <c r="G328" s="37"/>
    </row>
    <row r="329" spans="1:7">
      <c r="A329" s="31"/>
      <c r="B329" s="32"/>
      <c r="C329" s="66" t="s">
        <v>54</v>
      </c>
      <c r="D329" s="135"/>
      <c r="E329" s="35"/>
      <c r="F329" s="36"/>
      <c r="G329" s="37"/>
    </row>
    <row r="330" spans="1:7" ht="25.5">
      <c r="A330" s="31"/>
      <c r="B330" s="49"/>
      <c r="C330" s="38" t="s">
        <v>301</v>
      </c>
      <c r="D330" s="34" t="s">
        <v>31</v>
      </c>
      <c r="E330" s="35">
        <f>(0.25*0.05+0.15*0.035*2)*2.6*2*2</f>
        <v>0.2392</v>
      </c>
      <c r="F330" s="36"/>
      <c r="G330" s="37"/>
    </row>
    <row r="331" spans="1:7" ht="38.25">
      <c r="A331" s="31">
        <v>60</v>
      </c>
      <c r="B331" s="32">
        <v>860</v>
      </c>
      <c r="C331" s="69" t="s">
        <v>201</v>
      </c>
      <c r="D331" s="135"/>
      <c r="E331" s="35"/>
      <c r="F331" s="36"/>
      <c r="G331" s="37"/>
    </row>
    <row r="332" spans="1:7" ht="114.75">
      <c r="A332" s="31"/>
      <c r="B332" s="32"/>
      <c r="C332" s="60" t="s">
        <v>435</v>
      </c>
      <c r="D332" s="135"/>
      <c r="E332" s="35"/>
      <c r="F332" s="36"/>
      <c r="G332" s="37"/>
    </row>
    <row r="333" spans="1:7" ht="25.5">
      <c r="A333" s="31"/>
      <c r="B333" s="32"/>
      <c r="C333" s="60" t="s">
        <v>202</v>
      </c>
      <c r="D333" s="135"/>
      <c r="E333" s="35"/>
      <c r="F333" s="36"/>
      <c r="G333" s="37"/>
    </row>
    <row r="334" spans="1:7" ht="25.5">
      <c r="A334" s="31"/>
      <c r="B334" s="49"/>
      <c r="C334" s="38" t="s">
        <v>302</v>
      </c>
      <c r="D334" s="34" t="s">
        <v>22</v>
      </c>
      <c r="E334" s="35">
        <f>(2*82.4*2-30*1*2)+86.1*2+52.2*0.4</f>
        <v>462.68</v>
      </c>
      <c r="F334" s="36"/>
      <c r="G334" s="37"/>
    </row>
    <row r="335" spans="1:7">
      <c r="A335" s="31"/>
      <c r="B335" s="32"/>
      <c r="C335" s="60" t="s">
        <v>203</v>
      </c>
      <c r="D335" s="135"/>
      <c r="E335" s="35"/>
      <c r="F335" s="36"/>
      <c r="G335" s="37"/>
    </row>
    <row r="336" spans="1:7">
      <c r="A336" s="31"/>
      <c r="B336" s="49"/>
      <c r="C336" s="38" t="s">
        <v>250</v>
      </c>
      <c r="D336" s="34" t="s">
        <v>22</v>
      </c>
      <c r="E336" s="35">
        <f>1.06*2.6*2*2*12+2.6*0.25*2*7</f>
        <v>141.38800000000001</v>
      </c>
      <c r="F336" s="36"/>
      <c r="G336" s="37"/>
    </row>
    <row r="337" spans="1:7">
      <c r="A337" s="31"/>
      <c r="B337" s="32"/>
      <c r="C337" s="60" t="s">
        <v>204</v>
      </c>
      <c r="D337" s="135"/>
      <c r="E337" s="35"/>
      <c r="F337" s="36"/>
      <c r="G337" s="37"/>
    </row>
    <row r="338" spans="1:7">
      <c r="A338" s="31"/>
      <c r="B338" s="49"/>
      <c r="C338" s="38" t="s">
        <v>303</v>
      </c>
      <c r="D338" s="34" t="s">
        <v>22</v>
      </c>
      <c r="E338" s="35">
        <f>5.2*2.6*7</f>
        <v>94.640000000000015</v>
      </c>
      <c r="F338" s="36"/>
      <c r="G338" s="37"/>
    </row>
    <row r="339" spans="1:7">
      <c r="A339" s="31"/>
      <c r="B339" s="32"/>
      <c r="C339" s="60" t="s">
        <v>205</v>
      </c>
      <c r="D339" s="135"/>
      <c r="E339" s="35"/>
      <c r="F339" s="36"/>
      <c r="G339" s="37"/>
    </row>
    <row r="340" spans="1:7">
      <c r="A340" s="31"/>
      <c r="B340" s="49"/>
      <c r="C340" s="38" t="s">
        <v>254</v>
      </c>
      <c r="D340" s="34" t="s">
        <v>22</v>
      </c>
      <c r="E340" s="35">
        <f>75.4*1.0305*2</f>
        <v>155.39940000000001</v>
      </c>
      <c r="F340" s="36"/>
      <c r="G340" s="37"/>
    </row>
    <row r="341" spans="1:7" ht="25.5">
      <c r="A341" s="31">
        <v>61</v>
      </c>
      <c r="B341" s="32">
        <v>861</v>
      </c>
      <c r="C341" s="69" t="s">
        <v>206</v>
      </c>
      <c r="D341" s="135"/>
      <c r="E341" s="35"/>
      <c r="F341" s="36"/>
      <c r="G341" s="37"/>
    </row>
    <row r="342" spans="1:7" ht="90.75">
      <c r="A342" s="31"/>
      <c r="B342" s="32"/>
      <c r="C342" s="60" t="s">
        <v>207</v>
      </c>
      <c r="D342" s="135"/>
      <c r="E342" s="35"/>
      <c r="F342" s="36"/>
      <c r="G342" s="37"/>
    </row>
    <row r="343" spans="1:7">
      <c r="A343" s="31"/>
      <c r="B343" s="49"/>
      <c r="C343" s="38" t="s">
        <v>304</v>
      </c>
      <c r="D343" s="135"/>
      <c r="E343" s="35"/>
      <c r="F343" s="152"/>
      <c r="G343" s="37"/>
    </row>
    <row r="344" spans="1:7">
      <c r="A344" s="31"/>
      <c r="B344" s="49"/>
      <c r="C344" s="153" t="s">
        <v>208</v>
      </c>
      <c r="D344" s="34" t="s">
        <v>28</v>
      </c>
      <c r="E344" s="35">
        <f>13.8*2+7.5*21+8.3*1</f>
        <v>193.4</v>
      </c>
      <c r="F344" s="36"/>
      <c r="G344" s="37"/>
    </row>
    <row r="345" spans="1:7" ht="63.75">
      <c r="A345" s="31">
        <v>62</v>
      </c>
      <c r="B345" s="32">
        <v>875</v>
      </c>
      <c r="C345" s="39" t="s">
        <v>436</v>
      </c>
      <c r="D345" s="34"/>
      <c r="E345" s="35"/>
      <c r="F345" s="36"/>
      <c r="G345" s="37"/>
    </row>
    <row r="346" spans="1:7" ht="38.25">
      <c r="A346" s="31"/>
      <c r="B346" s="152"/>
      <c r="C346" s="122" t="s">
        <v>209</v>
      </c>
      <c r="D346" s="34"/>
      <c r="E346" s="35"/>
      <c r="F346" s="36"/>
      <c r="G346" s="37"/>
    </row>
    <row r="347" spans="1:7">
      <c r="A347" s="31"/>
      <c r="B347" s="32"/>
      <c r="C347" s="38" t="s">
        <v>305</v>
      </c>
      <c r="D347" s="34" t="s">
        <v>31</v>
      </c>
      <c r="E347" s="35">
        <f>4*4.65*1.55*0.1</f>
        <v>2.8830000000000005</v>
      </c>
      <c r="F347" s="36"/>
      <c r="G347" s="37"/>
    </row>
    <row r="348" spans="1:7" ht="25.5">
      <c r="A348" s="31"/>
      <c r="B348" s="32"/>
      <c r="C348" s="38" t="s">
        <v>210</v>
      </c>
      <c r="D348" s="34"/>
      <c r="E348" s="35"/>
      <c r="F348" s="36"/>
      <c r="G348" s="37"/>
    </row>
    <row r="349" spans="1:7">
      <c r="A349" s="31"/>
      <c r="B349" s="32"/>
      <c r="C349" s="38" t="s">
        <v>306</v>
      </c>
      <c r="D349" s="34" t="s">
        <v>31</v>
      </c>
      <c r="E349" s="35">
        <f>2*0.44*6.4</f>
        <v>5.6320000000000006</v>
      </c>
      <c r="F349" s="36"/>
      <c r="G349" s="37"/>
    </row>
    <row r="350" spans="1:7">
      <c r="A350" s="31"/>
      <c r="B350" s="32"/>
      <c r="C350" s="38" t="s">
        <v>211</v>
      </c>
      <c r="D350" s="34"/>
      <c r="E350" s="35"/>
      <c r="F350" s="36"/>
      <c r="G350" s="37"/>
    </row>
    <row r="351" spans="1:7">
      <c r="A351" s="31"/>
      <c r="B351" s="32"/>
      <c r="C351" s="38" t="s">
        <v>307</v>
      </c>
      <c r="D351" s="34" t="s">
        <v>31</v>
      </c>
      <c r="E351" s="35">
        <f>2*1*6.4</f>
        <v>12.8</v>
      </c>
      <c r="F351" s="36"/>
      <c r="G351" s="37"/>
    </row>
    <row r="352" spans="1:7" ht="38.25">
      <c r="A352" s="70">
        <v>63</v>
      </c>
      <c r="B352" s="140">
        <v>880</v>
      </c>
      <c r="C352" s="146" t="s">
        <v>212</v>
      </c>
      <c r="D352" s="44"/>
      <c r="E352" s="45"/>
      <c r="F352" s="46"/>
      <c r="G352" s="47"/>
    </row>
    <row r="353" spans="1:7" ht="38.25">
      <c r="A353" s="70"/>
      <c r="B353" s="140"/>
      <c r="C353" s="57" t="s">
        <v>213</v>
      </c>
      <c r="D353" s="44"/>
      <c r="E353" s="45"/>
      <c r="F353" s="46"/>
      <c r="G353" s="47"/>
    </row>
    <row r="354" spans="1:7" ht="38.25">
      <c r="A354" s="70"/>
      <c r="B354" s="140"/>
      <c r="C354" s="57" t="s">
        <v>214</v>
      </c>
      <c r="D354" s="44"/>
      <c r="E354" s="45"/>
      <c r="F354" s="46"/>
      <c r="G354" s="47"/>
    </row>
    <row r="355" spans="1:7">
      <c r="A355" s="70"/>
      <c r="B355" s="140"/>
      <c r="C355" s="40"/>
      <c r="D355" s="44"/>
      <c r="E355" s="45"/>
      <c r="F355" s="46"/>
      <c r="G355" s="47"/>
    </row>
    <row r="356" spans="1:7">
      <c r="A356" s="70"/>
      <c r="B356" s="140"/>
      <c r="C356" s="57" t="s">
        <v>215</v>
      </c>
      <c r="D356" s="44" t="s">
        <v>216</v>
      </c>
      <c r="E356" s="45">
        <v>5</v>
      </c>
      <c r="F356" s="46"/>
      <c r="G356" s="47"/>
    </row>
    <row r="357" spans="1:7">
      <c r="A357" s="31">
        <v>64</v>
      </c>
      <c r="B357" s="32">
        <v>890</v>
      </c>
      <c r="C357" s="39" t="s">
        <v>217</v>
      </c>
      <c r="D357" s="34"/>
      <c r="E357" s="35"/>
      <c r="F357" s="36"/>
      <c r="G357" s="37"/>
    </row>
    <row r="358" spans="1:7" ht="25.5">
      <c r="A358" s="31"/>
      <c r="B358" s="32"/>
      <c r="C358" s="38" t="s">
        <v>218</v>
      </c>
      <c r="D358" s="34"/>
      <c r="E358" s="35"/>
      <c r="F358" s="36"/>
      <c r="G358" s="37"/>
    </row>
    <row r="359" spans="1:7">
      <c r="A359" s="31"/>
      <c r="B359" s="49"/>
      <c r="C359" s="33" t="s">
        <v>219</v>
      </c>
      <c r="D359" s="34" t="s">
        <v>22</v>
      </c>
      <c r="E359" s="35">
        <v>250</v>
      </c>
      <c r="F359" s="36"/>
      <c r="G359" s="37"/>
    </row>
    <row r="360" spans="1:7">
      <c r="A360" s="31">
        <v>65</v>
      </c>
      <c r="B360" s="32">
        <v>891</v>
      </c>
      <c r="C360" s="39" t="s">
        <v>220</v>
      </c>
      <c r="D360" s="34"/>
      <c r="E360" s="35"/>
      <c r="F360" s="36"/>
      <c r="G360" s="37"/>
    </row>
    <row r="361" spans="1:7">
      <c r="A361" s="31"/>
      <c r="B361" s="49"/>
      <c r="C361" s="33" t="s">
        <v>221</v>
      </c>
      <c r="D361" s="34" t="s">
        <v>15</v>
      </c>
      <c r="E361" s="35"/>
      <c r="F361" s="36"/>
      <c r="G361" s="37"/>
    </row>
    <row r="362" spans="1:7">
      <c r="A362" s="31">
        <v>66</v>
      </c>
      <c r="B362" s="32">
        <v>893</v>
      </c>
      <c r="C362" s="39" t="s">
        <v>222</v>
      </c>
      <c r="D362" s="34"/>
      <c r="E362" s="35"/>
      <c r="F362" s="36"/>
      <c r="G362" s="37"/>
    </row>
    <row r="363" spans="1:7" ht="15.75" thickBot="1">
      <c r="A363" s="31"/>
      <c r="B363" s="49"/>
      <c r="C363" s="33" t="s">
        <v>221</v>
      </c>
      <c r="D363" s="34" t="s">
        <v>15</v>
      </c>
      <c r="E363" s="35"/>
      <c r="F363" s="36"/>
      <c r="G363" s="37"/>
    </row>
    <row r="364" spans="1:7" ht="15.75" thickBot="1">
      <c r="A364" s="154"/>
      <c r="B364" s="155"/>
      <c r="C364" s="156"/>
      <c r="D364" s="157"/>
      <c r="E364" s="158"/>
      <c r="F364" s="159" t="s">
        <v>223</v>
      </c>
      <c r="G364" s="160"/>
    </row>
    <row r="365" spans="1:7" ht="15.75" thickBot="1">
      <c r="A365" s="161"/>
      <c r="B365" s="162"/>
      <c r="C365" s="163"/>
      <c r="D365" s="164"/>
      <c r="E365" s="165"/>
      <c r="F365" s="166"/>
      <c r="G365" s="167"/>
    </row>
    <row r="366" spans="1:7" ht="16.5" thickBot="1">
      <c r="A366" s="351" t="s">
        <v>224</v>
      </c>
      <c r="B366" s="352"/>
      <c r="C366" s="352"/>
      <c r="D366" s="352"/>
      <c r="E366" s="352"/>
      <c r="F366" s="353"/>
      <c r="G366" s="354"/>
    </row>
  </sheetData>
  <mergeCells count="4">
    <mergeCell ref="A1:G1"/>
    <mergeCell ref="A3:G3"/>
    <mergeCell ref="A366:E366"/>
    <mergeCell ref="F366:G36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8"/>
  <sheetViews>
    <sheetView topLeftCell="A100" workbookViewId="0">
      <selection activeCell="C108" sqref="C108"/>
    </sheetView>
  </sheetViews>
  <sheetFormatPr defaultRowHeight="15"/>
  <cols>
    <col min="2" max="2" width="9" customWidth="1"/>
    <col min="3" max="3" width="26.5703125" customWidth="1"/>
    <col min="4" max="4" width="19.42578125" customWidth="1"/>
    <col min="5" max="5" width="14.140625" customWidth="1"/>
    <col min="6" max="6" width="16.5703125" customWidth="1"/>
    <col min="7" max="7" width="18.42578125" customWidth="1"/>
  </cols>
  <sheetData>
    <row r="1" spans="1:7" ht="15.75">
      <c r="A1" s="350" t="s">
        <v>308</v>
      </c>
      <c r="B1" s="350"/>
      <c r="C1" s="350"/>
      <c r="D1" s="350"/>
      <c r="E1" s="350"/>
      <c r="F1" s="350"/>
      <c r="G1" s="350"/>
    </row>
    <row r="2" spans="1:7" ht="15.75">
      <c r="A2" s="350" t="s">
        <v>309</v>
      </c>
      <c r="B2" s="350"/>
      <c r="C2" s="350"/>
      <c r="D2" s="350"/>
      <c r="E2" s="350"/>
      <c r="F2" s="350"/>
      <c r="G2" s="350"/>
    </row>
    <row r="3" spans="1:7" ht="15.75" thickBot="1">
      <c r="A3" s="6"/>
      <c r="B3" s="7"/>
      <c r="C3" s="175"/>
      <c r="D3" s="9"/>
      <c r="E3" s="9"/>
      <c r="F3" s="11"/>
      <c r="G3" s="11"/>
    </row>
    <row r="4" spans="1:7" ht="26.25" thickBot="1">
      <c r="A4" s="176" t="s">
        <v>2</v>
      </c>
      <c r="B4" s="177" t="s">
        <v>3</v>
      </c>
      <c r="C4" s="178" t="s">
        <v>4</v>
      </c>
      <c r="D4" s="177" t="s">
        <v>5</v>
      </c>
      <c r="E4" s="177" t="s">
        <v>6</v>
      </c>
      <c r="F4" s="179" t="s">
        <v>7</v>
      </c>
      <c r="G4" s="180" t="s">
        <v>8</v>
      </c>
    </row>
    <row r="5" spans="1:7" ht="15.75" thickBot="1">
      <c r="A5" s="79"/>
      <c r="B5" s="91" t="s">
        <v>9</v>
      </c>
      <c r="C5" s="181" t="s">
        <v>10</v>
      </c>
      <c r="D5" s="82"/>
      <c r="E5" s="82"/>
      <c r="F5" s="94"/>
      <c r="G5" s="182"/>
    </row>
    <row r="6" spans="1:7" ht="25.5">
      <c r="A6" s="95">
        <v>1</v>
      </c>
      <c r="B6" s="96"/>
      <c r="C6" s="131" t="s">
        <v>11</v>
      </c>
      <c r="D6" s="132"/>
      <c r="E6" s="99"/>
      <c r="F6" s="183"/>
      <c r="G6" s="101"/>
    </row>
    <row r="7" spans="1:7" ht="89.25">
      <c r="A7" s="31"/>
      <c r="B7" s="32"/>
      <c r="C7" s="38" t="s">
        <v>310</v>
      </c>
      <c r="D7" s="34"/>
      <c r="E7" s="35"/>
      <c r="F7" s="36"/>
      <c r="G7" s="37"/>
    </row>
    <row r="8" spans="1:7" ht="51">
      <c r="A8" s="31"/>
      <c r="B8" s="32"/>
      <c r="C8" s="38" t="s">
        <v>13</v>
      </c>
      <c r="D8" s="34"/>
      <c r="E8" s="35"/>
      <c r="F8" s="36"/>
      <c r="G8" s="37"/>
    </row>
    <row r="9" spans="1:7">
      <c r="A9" s="31"/>
      <c r="B9" s="32"/>
      <c r="C9" s="38" t="s">
        <v>14</v>
      </c>
      <c r="D9" s="34" t="s">
        <v>15</v>
      </c>
      <c r="E9" s="35"/>
      <c r="F9" s="36"/>
      <c r="G9" s="37"/>
    </row>
    <row r="10" spans="1:7">
      <c r="A10" s="184">
        <v>2</v>
      </c>
      <c r="B10" s="185">
        <v>101</v>
      </c>
      <c r="C10" s="186" t="s">
        <v>16</v>
      </c>
      <c r="D10" s="187"/>
      <c r="E10" s="188"/>
      <c r="F10" s="189"/>
      <c r="G10" s="190"/>
    </row>
    <row r="11" spans="1:7" ht="127.5">
      <c r="A11" s="184"/>
      <c r="B11" s="185"/>
      <c r="C11" s="191" t="s">
        <v>311</v>
      </c>
      <c r="D11" s="187"/>
      <c r="E11" s="188"/>
      <c r="F11" s="189"/>
      <c r="G11" s="190"/>
    </row>
    <row r="12" spans="1:7">
      <c r="A12" s="184"/>
      <c r="B12" s="185"/>
      <c r="C12" s="192" t="s">
        <v>14</v>
      </c>
      <c r="D12" s="187" t="s">
        <v>15</v>
      </c>
      <c r="E12" s="188"/>
      <c r="F12" s="189"/>
      <c r="G12" s="190"/>
    </row>
    <row r="13" spans="1:7">
      <c r="A13" s="184"/>
      <c r="B13" s="185" t="s">
        <v>18</v>
      </c>
      <c r="C13" s="193" t="s">
        <v>19</v>
      </c>
      <c r="D13" s="187"/>
      <c r="E13" s="187"/>
      <c r="F13" s="189"/>
      <c r="G13" s="190"/>
    </row>
    <row r="14" spans="1:7" ht="38.25">
      <c r="A14" s="184">
        <v>3</v>
      </c>
      <c r="B14" s="185">
        <v>111</v>
      </c>
      <c r="C14" s="191" t="s">
        <v>457</v>
      </c>
      <c r="D14" s="187"/>
      <c r="E14" s="187"/>
      <c r="F14" s="189"/>
      <c r="G14" s="190"/>
    </row>
    <row r="15" spans="1:7" ht="38.25">
      <c r="A15" s="184"/>
      <c r="B15" s="185"/>
      <c r="C15" s="191" t="s">
        <v>20</v>
      </c>
      <c r="D15" s="187"/>
      <c r="E15" s="187"/>
      <c r="F15" s="189"/>
      <c r="G15" s="190"/>
    </row>
    <row r="16" spans="1:7">
      <c r="A16" s="184"/>
      <c r="B16" s="185"/>
      <c r="C16" s="192" t="s">
        <v>14</v>
      </c>
      <c r="D16" s="187" t="s">
        <v>15</v>
      </c>
      <c r="E16" s="187"/>
      <c r="F16" s="189"/>
      <c r="G16" s="190"/>
    </row>
    <row r="17" spans="1:7">
      <c r="A17" s="31"/>
      <c r="B17" s="32" t="s">
        <v>23</v>
      </c>
      <c r="C17" s="194" t="s">
        <v>24</v>
      </c>
      <c r="D17" s="34"/>
      <c r="E17" s="34"/>
      <c r="F17" s="36"/>
      <c r="G17" s="37"/>
    </row>
    <row r="18" spans="1:7" ht="51">
      <c r="A18" s="184">
        <v>4</v>
      </c>
      <c r="B18" s="185">
        <v>127</v>
      </c>
      <c r="C18" s="186" t="s">
        <v>458</v>
      </c>
      <c r="D18" s="187"/>
      <c r="E18" s="187"/>
      <c r="F18" s="189"/>
      <c r="G18" s="190"/>
    </row>
    <row r="19" spans="1:7" ht="25.5">
      <c r="A19" s="184"/>
      <c r="B19" s="195"/>
      <c r="C19" s="192" t="s">
        <v>312</v>
      </c>
      <c r="D19" s="187"/>
      <c r="E19" s="187"/>
      <c r="F19" s="189"/>
      <c r="G19" s="190"/>
    </row>
    <row r="20" spans="1:7">
      <c r="A20" s="184"/>
      <c r="B20" s="195"/>
      <c r="C20" s="191" t="s">
        <v>403</v>
      </c>
      <c r="D20" s="187"/>
      <c r="E20" s="187"/>
      <c r="F20" s="189"/>
      <c r="G20" s="190"/>
    </row>
    <row r="21" spans="1:7" ht="25.5">
      <c r="A21" s="184"/>
      <c r="B21" s="195"/>
      <c r="C21" s="191" t="s">
        <v>33</v>
      </c>
      <c r="D21" s="187" t="s">
        <v>28</v>
      </c>
      <c r="E21" s="188">
        <f>2*4.3</f>
        <v>8.6</v>
      </c>
      <c r="F21" s="189"/>
      <c r="G21" s="190"/>
    </row>
    <row r="22" spans="1:7" ht="25.5">
      <c r="A22" s="184">
        <v>5</v>
      </c>
      <c r="B22" s="185">
        <v>130</v>
      </c>
      <c r="C22" s="196" t="s">
        <v>459</v>
      </c>
      <c r="D22" s="197"/>
      <c r="E22" s="197"/>
      <c r="F22" s="198"/>
      <c r="G22" s="199"/>
    </row>
    <row r="23" spans="1:7">
      <c r="A23" s="184"/>
      <c r="B23" s="200"/>
      <c r="C23" s="191" t="s">
        <v>404</v>
      </c>
      <c r="D23" s="187"/>
      <c r="E23" s="188"/>
      <c r="F23" s="189"/>
      <c r="G23" s="190"/>
    </row>
    <row r="24" spans="1:7" ht="30">
      <c r="A24" s="201"/>
      <c r="B24" s="198"/>
      <c r="C24" s="202" t="s">
        <v>313</v>
      </c>
      <c r="D24" s="197" t="s">
        <v>28</v>
      </c>
      <c r="E24" s="188">
        <f>1*85.6</f>
        <v>85.6</v>
      </c>
      <c r="F24" s="189"/>
      <c r="G24" s="190"/>
    </row>
    <row r="25" spans="1:7" ht="25.5">
      <c r="A25" s="184"/>
      <c r="B25" s="185">
        <v>131</v>
      </c>
      <c r="C25" s="196" t="s">
        <v>35</v>
      </c>
      <c r="D25" s="197"/>
      <c r="E25" s="197"/>
      <c r="F25" s="198"/>
      <c r="G25" s="199"/>
    </row>
    <row r="26" spans="1:7" ht="89.25">
      <c r="A26" s="184">
        <v>6</v>
      </c>
      <c r="B26" s="185" t="s">
        <v>38</v>
      </c>
      <c r="C26" s="38" t="s">
        <v>460</v>
      </c>
      <c r="D26" s="34"/>
      <c r="E26" s="35"/>
      <c r="F26" s="189"/>
      <c r="G26" s="190"/>
    </row>
    <row r="27" spans="1:7">
      <c r="A27" s="184"/>
      <c r="B27" s="195"/>
      <c r="C27" s="38" t="s">
        <v>405</v>
      </c>
      <c r="D27" s="44"/>
      <c r="E27" s="35"/>
      <c r="F27" s="189"/>
      <c r="G27" s="190"/>
    </row>
    <row r="28" spans="1:7" ht="25.5">
      <c r="A28" s="184"/>
      <c r="B28" s="198"/>
      <c r="C28" s="38" t="s">
        <v>39</v>
      </c>
      <c r="D28" s="34" t="s">
        <v>31</v>
      </c>
      <c r="E28" s="35">
        <f>(0.1+0.02)*4.3*76.2</f>
        <v>39.319200000000002</v>
      </c>
      <c r="F28" s="189"/>
      <c r="G28" s="190"/>
    </row>
    <row r="29" spans="1:7" ht="51">
      <c r="A29" s="184">
        <v>7</v>
      </c>
      <c r="B29" s="140" t="s">
        <v>40</v>
      </c>
      <c r="C29" s="40" t="s">
        <v>461</v>
      </c>
      <c r="D29" s="51"/>
      <c r="E29" s="52"/>
      <c r="F29" s="48"/>
      <c r="G29" s="53"/>
    </row>
    <row r="30" spans="1:7" ht="102">
      <c r="A30" s="184"/>
      <c r="B30" s="140"/>
      <c r="C30" s="40" t="s">
        <v>41</v>
      </c>
      <c r="D30" s="51"/>
      <c r="E30" s="52"/>
      <c r="F30" s="48"/>
      <c r="G30" s="53"/>
    </row>
    <row r="31" spans="1:7">
      <c r="A31" s="184"/>
      <c r="B31" s="140"/>
      <c r="C31" s="40" t="s">
        <v>42</v>
      </c>
      <c r="D31" s="51"/>
      <c r="E31" s="52"/>
      <c r="F31" s="48"/>
      <c r="G31" s="53"/>
    </row>
    <row r="32" spans="1:7">
      <c r="A32" s="184"/>
      <c r="B32" s="71"/>
      <c r="C32" s="191" t="s">
        <v>406</v>
      </c>
      <c r="D32" s="44" t="s">
        <v>31</v>
      </c>
      <c r="E32" s="45">
        <f>(1+0.5+0.5+0.5+0.5+1)*0.04</f>
        <v>0.16</v>
      </c>
      <c r="F32" s="46"/>
      <c r="G32" s="47"/>
    </row>
    <row r="33" spans="1:7">
      <c r="A33" s="184"/>
      <c r="B33" s="71"/>
      <c r="C33" s="40" t="s">
        <v>314</v>
      </c>
      <c r="D33" s="44"/>
      <c r="E33" s="45"/>
      <c r="F33" s="46"/>
      <c r="G33" s="47"/>
    </row>
    <row r="34" spans="1:7">
      <c r="A34" s="184"/>
      <c r="B34" s="71"/>
      <c r="C34" s="191" t="s">
        <v>407</v>
      </c>
      <c r="D34" s="44" t="s">
        <v>31</v>
      </c>
      <c r="E34" s="45">
        <f>0.5*0.5+0.5*0.4*0.1*0.5</f>
        <v>0.26</v>
      </c>
      <c r="F34" s="46"/>
      <c r="G34" s="47"/>
    </row>
    <row r="35" spans="1:7">
      <c r="A35" s="184"/>
      <c r="B35" s="71"/>
      <c r="C35" s="40" t="s">
        <v>315</v>
      </c>
      <c r="D35" s="44"/>
      <c r="E35" s="45"/>
      <c r="F35" s="46"/>
      <c r="G35" s="47"/>
    </row>
    <row r="36" spans="1:7">
      <c r="A36" s="184"/>
      <c r="B36" s="71"/>
      <c r="C36" s="191" t="s">
        <v>408</v>
      </c>
      <c r="D36" s="44" t="s">
        <v>31</v>
      </c>
      <c r="E36" s="45">
        <f>0.171*0.8*2</f>
        <v>0.27360000000000001</v>
      </c>
      <c r="F36" s="46"/>
      <c r="G36" s="47"/>
    </row>
    <row r="37" spans="1:7" ht="25.5">
      <c r="A37" s="184">
        <v>8</v>
      </c>
      <c r="B37" s="140" t="s">
        <v>43</v>
      </c>
      <c r="C37" s="40" t="s">
        <v>316</v>
      </c>
      <c r="D37" s="51"/>
      <c r="E37" s="52"/>
      <c r="F37" s="48"/>
      <c r="G37" s="53"/>
    </row>
    <row r="38" spans="1:7" ht="102">
      <c r="A38" s="184"/>
      <c r="B38" s="140"/>
      <c r="C38" s="40" t="s">
        <v>41</v>
      </c>
      <c r="D38" s="51"/>
      <c r="E38" s="52"/>
      <c r="F38" s="48"/>
      <c r="G38" s="53"/>
    </row>
    <row r="39" spans="1:7">
      <c r="A39" s="184"/>
      <c r="B39" s="140"/>
      <c r="C39" s="40" t="s">
        <v>317</v>
      </c>
      <c r="D39" s="51"/>
      <c r="E39" s="52"/>
      <c r="F39" s="48"/>
      <c r="G39" s="53"/>
    </row>
    <row r="40" spans="1:7">
      <c r="A40" s="184"/>
      <c r="B40" s="71"/>
      <c r="C40" s="191" t="s">
        <v>409</v>
      </c>
      <c r="D40" s="44" t="s">
        <v>31</v>
      </c>
      <c r="E40" s="45"/>
      <c r="F40" s="46"/>
      <c r="G40" s="47"/>
    </row>
    <row r="41" spans="1:7" ht="25.5">
      <c r="A41" s="184"/>
      <c r="B41" s="198"/>
      <c r="C41" s="191" t="s">
        <v>39</v>
      </c>
      <c r="D41" s="187" t="s">
        <v>31</v>
      </c>
      <c r="E41" s="188">
        <f>0.2*0.4*3</f>
        <v>0.24000000000000005</v>
      </c>
      <c r="F41" s="189"/>
      <c r="G41" s="190"/>
    </row>
    <row r="42" spans="1:7" ht="25.5">
      <c r="A42" s="184">
        <v>9</v>
      </c>
      <c r="B42" s="32" t="s">
        <v>50</v>
      </c>
      <c r="C42" s="203" t="s">
        <v>318</v>
      </c>
      <c r="D42" s="51"/>
      <c r="E42" s="52"/>
      <c r="F42" s="48"/>
      <c r="G42" s="53"/>
    </row>
    <row r="43" spans="1:7" ht="89.25">
      <c r="A43" s="184"/>
      <c r="B43" s="32"/>
      <c r="C43" s="203" t="s">
        <v>319</v>
      </c>
      <c r="D43" s="51"/>
      <c r="E43" s="52"/>
      <c r="F43" s="48"/>
      <c r="G43" s="53"/>
    </row>
    <row r="44" spans="1:7" ht="38.25">
      <c r="A44" s="184"/>
      <c r="B44" s="32"/>
      <c r="C44" s="38" t="s">
        <v>320</v>
      </c>
      <c r="D44" s="51"/>
      <c r="E44" s="52"/>
      <c r="F44" s="48"/>
      <c r="G44" s="53"/>
    </row>
    <row r="45" spans="1:7">
      <c r="A45" s="184"/>
      <c r="B45" s="49"/>
      <c r="C45" s="191" t="s">
        <v>410</v>
      </c>
      <c r="D45" s="58" t="s">
        <v>46</v>
      </c>
      <c r="E45" s="35"/>
      <c r="F45" s="36"/>
      <c r="G45" s="37"/>
    </row>
    <row r="46" spans="1:7" ht="25.5">
      <c r="A46" s="184"/>
      <c r="B46" s="48"/>
      <c r="C46" s="38" t="s">
        <v>49</v>
      </c>
      <c r="D46" s="58" t="s">
        <v>46</v>
      </c>
      <c r="E46" s="35">
        <f>4*1.81*2</f>
        <v>14.48</v>
      </c>
      <c r="F46" s="36"/>
      <c r="G46" s="37"/>
    </row>
    <row r="47" spans="1:7" ht="25.5">
      <c r="A47" s="184">
        <v>10</v>
      </c>
      <c r="B47" s="32">
        <v>135</v>
      </c>
      <c r="C47" s="204" t="s">
        <v>62</v>
      </c>
      <c r="D47" s="51"/>
      <c r="E47" s="35"/>
      <c r="F47" s="36"/>
      <c r="G47" s="37"/>
    </row>
    <row r="48" spans="1:7" ht="127.5">
      <c r="A48" s="184"/>
      <c r="B48" s="140"/>
      <c r="C48" s="60" t="s">
        <v>63</v>
      </c>
      <c r="D48" s="51"/>
      <c r="E48" s="45"/>
      <c r="F48" s="46"/>
      <c r="G48" s="47"/>
    </row>
    <row r="49" spans="1:7">
      <c r="A49" s="184"/>
      <c r="B49" s="140"/>
      <c r="C49" s="40" t="s">
        <v>42</v>
      </c>
      <c r="D49" s="205"/>
      <c r="E49" s="206"/>
      <c r="F49" s="46"/>
      <c r="G49" s="47"/>
    </row>
    <row r="50" spans="1:7">
      <c r="A50" s="184"/>
      <c r="B50" s="140"/>
      <c r="C50" s="191" t="s">
        <v>411</v>
      </c>
      <c r="D50" s="44" t="s">
        <v>22</v>
      </c>
      <c r="E50" s="45">
        <f>4*8+3.5*8</f>
        <v>60</v>
      </c>
      <c r="F50" s="46"/>
      <c r="G50" s="47"/>
    </row>
    <row r="51" spans="1:7" ht="30">
      <c r="A51" s="184"/>
      <c r="B51" s="71"/>
      <c r="C51" s="55" t="s">
        <v>321</v>
      </c>
      <c r="D51" s="205"/>
      <c r="E51" s="206"/>
      <c r="F51" s="46"/>
      <c r="G51" s="47"/>
    </row>
    <row r="52" spans="1:7" ht="25.5">
      <c r="A52" s="184"/>
      <c r="B52" s="71"/>
      <c r="C52" s="191" t="s">
        <v>412</v>
      </c>
      <c r="D52" s="44" t="s">
        <v>22</v>
      </c>
      <c r="E52" s="45">
        <f>(1.4*2+0.8*2)*7.55*2+(1.21*2+4.18*0.8)*2</f>
        <v>77.967999999999989</v>
      </c>
      <c r="F52" s="46"/>
      <c r="G52" s="47"/>
    </row>
    <row r="53" spans="1:7" ht="25.5">
      <c r="A53" s="184">
        <v>11</v>
      </c>
      <c r="B53" s="32">
        <v>138</v>
      </c>
      <c r="C53" s="69" t="s">
        <v>74</v>
      </c>
      <c r="D53" s="51"/>
      <c r="E53" s="35"/>
      <c r="F53" s="36"/>
      <c r="G53" s="37"/>
    </row>
    <row r="54" spans="1:7" ht="89.25">
      <c r="A54" s="184"/>
      <c r="B54" s="140"/>
      <c r="C54" s="60" t="s">
        <v>75</v>
      </c>
      <c r="D54" s="51"/>
      <c r="E54" s="45"/>
      <c r="F54" s="46"/>
      <c r="G54" s="47"/>
    </row>
    <row r="55" spans="1:7">
      <c r="A55" s="184"/>
      <c r="B55" s="140"/>
      <c r="C55" s="40" t="s">
        <v>42</v>
      </c>
      <c r="D55" s="205"/>
      <c r="E55" s="206"/>
      <c r="F55" s="46"/>
      <c r="G55" s="47"/>
    </row>
    <row r="56" spans="1:7">
      <c r="A56" s="184"/>
      <c r="B56" s="140"/>
      <c r="C56" s="191" t="s">
        <v>411</v>
      </c>
      <c r="D56" s="44" t="s">
        <v>22</v>
      </c>
      <c r="E56" s="45">
        <f>4*8+3.5*8</f>
        <v>60</v>
      </c>
      <c r="F56" s="46"/>
      <c r="G56" s="47"/>
    </row>
    <row r="57" spans="1:7" ht="30">
      <c r="A57" s="184"/>
      <c r="B57" s="71"/>
      <c r="C57" s="55" t="s">
        <v>321</v>
      </c>
      <c r="D57" s="205"/>
      <c r="E57" s="206"/>
      <c r="F57" s="46"/>
      <c r="G57" s="47"/>
    </row>
    <row r="58" spans="1:7" ht="26.25" thickBot="1">
      <c r="A58" s="184"/>
      <c r="B58" s="71"/>
      <c r="C58" s="191" t="s">
        <v>412</v>
      </c>
      <c r="D58" s="44" t="s">
        <v>22</v>
      </c>
      <c r="E58" s="45">
        <f>(1.4*2+0.8*2)*7.55*2+(1.21*2+4.18*0.8)*2</f>
        <v>77.967999999999989</v>
      </c>
      <c r="F58" s="46"/>
      <c r="G58" s="47"/>
    </row>
    <row r="59" spans="1:7" ht="15.75" thickBot="1">
      <c r="A59" s="79"/>
      <c r="B59" s="80"/>
      <c r="C59" s="81"/>
      <c r="D59" s="82"/>
      <c r="E59" s="138"/>
      <c r="F59" s="84" t="s">
        <v>82</v>
      </c>
      <c r="G59" s="208"/>
    </row>
    <row r="60" spans="1:7">
      <c r="A60" s="86"/>
      <c r="B60" s="87"/>
      <c r="C60" s="88"/>
      <c r="D60" s="9"/>
      <c r="E60" s="139"/>
      <c r="F60" s="90"/>
      <c r="G60" s="90"/>
    </row>
    <row r="61" spans="1:7" ht="15.75" thickBot="1">
      <c r="A61" s="86"/>
      <c r="B61" s="87"/>
      <c r="C61" s="88"/>
      <c r="D61" s="9"/>
      <c r="E61" s="139"/>
      <c r="F61" s="90"/>
      <c r="G61" s="90"/>
    </row>
    <row r="62" spans="1:7" ht="15.75" thickBot="1">
      <c r="A62" s="79"/>
      <c r="B62" s="91" t="s">
        <v>91</v>
      </c>
      <c r="C62" s="181" t="s">
        <v>92</v>
      </c>
      <c r="D62" s="82"/>
      <c r="E62" s="82"/>
      <c r="F62" s="94"/>
      <c r="G62" s="85"/>
    </row>
    <row r="63" spans="1:7" ht="51">
      <c r="A63" s="31">
        <v>12</v>
      </c>
      <c r="B63" s="32">
        <v>301</v>
      </c>
      <c r="C63" s="209" t="s">
        <v>93</v>
      </c>
      <c r="D63" s="34"/>
      <c r="E63" s="35"/>
      <c r="F63" s="36"/>
      <c r="G63" s="37"/>
    </row>
    <row r="64" spans="1:7" ht="178.5">
      <c r="A64" s="31"/>
      <c r="B64" s="49"/>
      <c r="C64" s="60" t="s">
        <v>94</v>
      </c>
      <c r="D64" s="34"/>
      <c r="E64" s="35"/>
      <c r="F64" s="36"/>
      <c r="G64" s="37"/>
    </row>
    <row r="65" spans="1:7" ht="25.5">
      <c r="A65" s="31"/>
      <c r="B65" s="71"/>
      <c r="C65" s="66" t="s">
        <v>322</v>
      </c>
      <c r="D65" s="34" t="s">
        <v>22</v>
      </c>
      <c r="E65" s="35">
        <f>75.2*4.3</f>
        <v>323.36</v>
      </c>
      <c r="F65" s="36"/>
      <c r="G65" s="37"/>
    </row>
    <row r="66" spans="1:7" ht="38.25">
      <c r="A66" s="31">
        <v>13</v>
      </c>
      <c r="B66" s="32">
        <v>302</v>
      </c>
      <c r="C66" s="210" t="s">
        <v>323</v>
      </c>
      <c r="D66" s="34"/>
      <c r="E66" s="35"/>
      <c r="F66" s="36"/>
      <c r="G66" s="37"/>
    </row>
    <row r="67" spans="1:7" ht="102">
      <c r="A67" s="31"/>
      <c r="B67" s="49"/>
      <c r="C67" s="60" t="s">
        <v>97</v>
      </c>
      <c r="D67" s="34"/>
      <c r="E67" s="35"/>
      <c r="F67" s="36"/>
      <c r="G67" s="37"/>
    </row>
    <row r="68" spans="1:7" ht="25.5">
      <c r="A68" s="31"/>
      <c r="B68" s="71"/>
      <c r="C68" s="191" t="s">
        <v>413</v>
      </c>
      <c r="D68" s="34"/>
      <c r="E68" s="35"/>
      <c r="F68" s="36"/>
      <c r="G68" s="37"/>
    </row>
    <row r="69" spans="1:7" ht="25.5">
      <c r="A69" s="31"/>
      <c r="B69" s="71"/>
      <c r="C69" s="66" t="s">
        <v>322</v>
      </c>
      <c r="D69" s="34" t="s">
        <v>22</v>
      </c>
      <c r="E69" s="211">
        <f>4.3*6+4.3*5+(0.8+1.4)*7.55*2*2</f>
        <v>113.74</v>
      </c>
      <c r="F69" s="36"/>
      <c r="G69" s="37"/>
    </row>
    <row r="70" spans="1:7" ht="63.75">
      <c r="A70" s="31">
        <v>14</v>
      </c>
      <c r="B70" s="32">
        <v>303</v>
      </c>
      <c r="C70" s="212" t="s">
        <v>324</v>
      </c>
      <c r="D70" s="34"/>
      <c r="E70" s="35"/>
      <c r="F70" s="36"/>
      <c r="G70" s="37"/>
    </row>
    <row r="71" spans="1:7" ht="280.5">
      <c r="A71" s="31"/>
      <c r="B71" s="49"/>
      <c r="C71" s="60" t="s">
        <v>325</v>
      </c>
      <c r="D71" s="34"/>
      <c r="E71" s="35"/>
      <c r="F71" s="36"/>
      <c r="G71" s="37"/>
    </row>
    <row r="72" spans="1:7">
      <c r="A72" s="31"/>
      <c r="B72" s="71"/>
      <c r="C72" s="38" t="s">
        <v>326</v>
      </c>
      <c r="D72" s="34"/>
      <c r="E72" s="35"/>
      <c r="F72" s="36"/>
      <c r="G72" s="37"/>
    </row>
    <row r="73" spans="1:7" ht="15.75" thickBot="1">
      <c r="A73" s="72"/>
      <c r="B73" s="207"/>
      <c r="C73" s="112" t="s">
        <v>327</v>
      </c>
      <c r="D73" s="75" t="s">
        <v>125</v>
      </c>
      <c r="E73" s="76">
        <v>4</v>
      </c>
      <c r="F73" s="77"/>
      <c r="G73" s="78"/>
    </row>
    <row r="74" spans="1:7" ht="15.75" thickBot="1">
      <c r="A74" s="213"/>
      <c r="B74" s="214"/>
      <c r="C74" s="215"/>
      <c r="D74" s="216"/>
      <c r="E74" s="217"/>
      <c r="F74" s="218" t="s">
        <v>99</v>
      </c>
      <c r="G74" s="219"/>
    </row>
    <row r="75" spans="1:7" ht="15.75" thickBot="1">
      <c r="A75" s="86"/>
      <c r="B75" s="11"/>
      <c r="C75" s="220"/>
      <c r="D75" s="9"/>
      <c r="E75" s="86"/>
      <c r="F75" s="90"/>
      <c r="G75" s="90"/>
    </row>
    <row r="76" spans="1:7" ht="15.75" thickBot="1">
      <c r="A76" s="213"/>
      <c r="B76" s="221" t="s">
        <v>100</v>
      </c>
      <c r="C76" s="222" t="s">
        <v>101</v>
      </c>
      <c r="D76" s="216"/>
      <c r="E76" s="216"/>
      <c r="F76" s="214"/>
      <c r="G76" s="223"/>
    </row>
    <row r="77" spans="1:7">
      <c r="A77" s="161"/>
      <c r="B77" s="224" t="s">
        <v>102</v>
      </c>
      <c r="C77" s="225" t="s">
        <v>103</v>
      </c>
      <c r="D77" s="226"/>
      <c r="E77" s="226"/>
      <c r="F77" s="162"/>
      <c r="G77" s="227"/>
    </row>
    <row r="78" spans="1:7">
      <c r="A78" s="124"/>
      <c r="B78" s="125" t="s">
        <v>110</v>
      </c>
      <c r="C78" s="228" t="s">
        <v>111</v>
      </c>
      <c r="D78" s="355"/>
      <c r="E78" s="355"/>
      <c r="F78" s="355"/>
      <c r="G78" s="356"/>
    </row>
    <row r="79" spans="1:7" ht="38.25">
      <c r="A79" s="95">
        <v>15</v>
      </c>
      <c r="B79" s="96">
        <v>553</v>
      </c>
      <c r="C79" s="131" t="s">
        <v>112</v>
      </c>
      <c r="D79" s="132"/>
      <c r="E79" s="132"/>
      <c r="F79" s="133"/>
      <c r="G79" s="134"/>
    </row>
    <row r="80" spans="1:7" ht="51">
      <c r="A80" s="31"/>
      <c r="B80" s="49" t="s">
        <v>328</v>
      </c>
      <c r="C80" s="38" t="s">
        <v>329</v>
      </c>
      <c r="D80" s="34"/>
      <c r="E80" s="34"/>
      <c r="F80" s="49"/>
      <c r="G80" s="121"/>
    </row>
    <row r="81" spans="1:7">
      <c r="A81" s="31"/>
      <c r="B81" s="49"/>
      <c r="C81" s="38" t="s">
        <v>414</v>
      </c>
      <c r="D81" s="135" t="s">
        <v>31</v>
      </c>
      <c r="E81" s="35">
        <f>76.2*0.486</f>
        <v>37.033200000000001</v>
      </c>
      <c r="F81" s="36"/>
      <c r="G81" s="37"/>
    </row>
    <row r="82" spans="1:7">
      <c r="A82" s="31"/>
      <c r="B82" s="49"/>
      <c r="C82" s="229" t="s">
        <v>109</v>
      </c>
      <c r="D82" s="135"/>
      <c r="E82" s="35"/>
      <c r="F82" s="36"/>
      <c r="G82" s="37"/>
    </row>
    <row r="83" spans="1:7" ht="25.5">
      <c r="A83" s="31">
        <v>16</v>
      </c>
      <c r="B83" s="32">
        <v>554</v>
      </c>
      <c r="C83" s="39" t="s">
        <v>113</v>
      </c>
      <c r="D83" s="34"/>
      <c r="E83" s="34"/>
      <c r="F83" s="49"/>
      <c r="G83" s="121"/>
    </row>
    <row r="84" spans="1:7" ht="51">
      <c r="A84" s="31"/>
      <c r="B84" s="32"/>
      <c r="C84" s="230" t="s">
        <v>330</v>
      </c>
      <c r="D84" s="34"/>
      <c r="E84" s="34"/>
      <c r="F84" s="49"/>
      <c r="G84" s="121"/>
    </row>
    <row r="85" spans="1:7">
      <c r="A85" s="31"/>
      <c r="B85" s="32"/>
      <c r="C85" s="38" t="s">
        <v>415</v>
      </c>
      <c r="D85" s="135" t="s">
        <v>31</v>
      </c>
      <c r="E85" s="35">
        <f>85.6*2*0.035</f>
        <v>5.992</v>
      </c>
      <c r="F85" s="36"/>
      <c r="G85" s="37"/>
    </row>
    <row r="86" spans="1:7" ht="15.75" thickBot="1">
      <c r="A86" s="72"/>
      <c r="B86" s="136"/>
      <c r="C86" s="231" t="s">
        <v>109</v>
      </c>
      <c r="D86" s="137"/>
      <c r="E86" s="76"/>
      <c r="F86" s="77"/>
      <c r="G86" s="78"/>
    </row>
    <row r="87" spans="1:7" ht="15.75" thickBot="1">
      <c r="A87" s="79"/>
      <c r="B87" s="113"/>
      <c r="C87" s="232"/>
      <c r="D87" s="138"/>
      <c r="E87" s="138"/>
      <c r="F87" s="84" t="s">
        <v>116</v>
      </c>
      <c r="G87" s="85"/>
    </row>
    <row r="88" spans="1:7" ht="15.75" thickBot="1">
      <c r="A88" s="86"/>
      <c r="B88" s="11"/>
      <c r="C88" s="220"/>
      <c r="D88" s="139"/>
      <c r="E88" s="139"/>
      <c r="F88" s="90"/>
      <c r="G88" s="90"/>
    </row>
    <row r="89" spans="1:7" ht="15.75" thickBot="1">
      <c r="A89" s="79"/>
      <c r="B89" s="91" t="s">
        <v>117</v>
      </c>
      <c r="C89" s="181" t="s">
        <v>118</v>
      </c>
      <c r="D89" s="82"/>
      <c r="E89" s="82"/>
      <c r="F89" s="113"/>
      <c r="G89" s="116"/>
    </row>
    <row r="90" spans="1:7" ht="51">
      <c r="A90" s="95">
        <v>17</v>
      </c>
      <c r="B90" s="96">
        <v>601</v>
      </c>
      <c r="C90" s="131" t="s">
        <v>119</v>
      </c>
      <c r="D90" s="132"/>
      <c r="E90" s="132"/>
      <c r="F90" s="133"/>
      <c r="G90" s="134"/>
    </row>
    <row r="91" spans="1:7">
      <c r="A91" s="31"/>
      <c r="B91" s="49"/>
      <c r="C91" s="229" t="s">
        <v>120</v>
      </c>
      <c r="D91" s="34" t="s">
        <v>121</v>
      </c>
      <c r="E91" s="233">
        <v>11143</v>
      </c>
      <c r="F91" s="36"/>
      <c r="G91" s="37"/>
    </row>
    <row r="92" spans="1:7">
      <c r="A92" s="31">
        <v>18</v>
      </c>
      <c r="B92" s="32">
        <v>602</v>
      </c>
      <c r="C92" s="194" t="s">
        <v>331</v>
      </c>
      <c r="D92" s="34"/>
      <c r="E92" s="233"/>
      <c r="F92" s="36"/>
      <c r="G92" s="37"/>
    </row>
    <row r="93" spans="1:7" ht="25.5">
      <c r="A93" s="31"/>
      <c r="B93" s="32"/>
      <c r="C93" s="38" t="s">
        <v>332</v>
      </c>
      <c r="D93" s="34" t="s">
        <v>125</v>
      </c>
      <c r="E93" s="233">
        <v>8</v>
      </c>
      <c r="F93" s="36"/>
      <c r="G93" s="37"/>
    </row>
    <row r="94" spans="1:7" ht="51">
      <c r="A94" s="31"/>
      <c r="B94" s="32"/>
      <c r="C94" s="38" t="s">
        <v>467</v>
      </c>
      <c r="D94" s="34" t="s">
        <v>125</v>
      </c>
      <c r="E94" s="35">
        <v>4</v>
      </c>
      <c r="F94" s="36"/>
      <c r="G94" s="37"/>
    </row>
    <row r="95" spans="1:7" ht="67.5" customHeight="1">
      <c r="A95" s="31"/>
      <c r="B95" s="32"/>
      <c r="C95" s="38" t="s">
        <v>469</v>
      </c>
      <c r="D95" s="34" t="s">
        <v>125</v>
      </c>
      <c r="E95" s="35">
        <v>4</v>
      </c>
      <c r="F95" s="36"/>
      <c r="G95" s="37"/>
    </row>
    <row r="96" spans="1:7">
      <c r="A96" s="31">
        <v>19</v>
      </c>
      <c r="B96" s="32">
        <v>630</v>
      </c>
      <c r="C96" s="39" t="s">
        <v>468</v>
      </c>
      <c r="D96" s="34"/>
      <c r="E96" s="35"/>
      <c r="F96" s="36"/>
      <c r="G96" s="37"/>
    </row>
    <row r="97" spans="1:7" ht="25.5">
      <c r="A97" s="31"/>
      <c r="B97" s="32"/>
      <c r="C97" s="38" t="s">
        <v>333</v>
      </c>
      <c r="D97" s="34"/>
      <c r="E97" s="35"/>
      <c r="F97" s="36"/>
      <c r="G97" s="37"/>
    </row>
    <row r="98" spans="1:7" ht="25.5">
      <c r="A98" s="31"/>
      <c r="B98" s="32"/>
      <c r="C98" s="38" t="s">
        <v>334</v>
      </c>
      <c r="D98" s="34" t="s">
        <v>125</v>
      </c>
      <c r="E98" s="35">
        <v>1010</v>
      </c>
      <c r="F98" s="36"/>
      <c r="G98" s="37"/>
    </row>
    <row r="99" spans="1:7" ht="25.5">
      <c r="A99" s="31">
        <v>20</v>
      </c>
      <c r="B99" s="32">
        <v>640</v>
      </c>
      <c r="C99" s="39" t="s">
        <v>335</v>
      </c>
      <c r="D99" s="34"/>
      <c r="E99" s="35"/>
      <c r="F99" s="36"/>
      <c r="G99" s="37"/>
    </row>
    <row r="100" spans="1:7" ht="25.5">
      <c r="A100" s="31"/>
      <c r="B100" s="32"/>
      <c r="C100" s="38" t="s">
        <v>336</v>
      </c>
      <c r="D100" s="34" t="s">
        <v>121</v>
      </c>
      <c r="E100" s="233">
        <v>5000</v>
      </c>
      <c r="F100" s="36"/>
      <c r="G100" s="37"/>
    </row>
    <row r="101" spans="1:7" ht="25.5">
      <c r="A101" s="31">
        <v>21</v>
      </c>
      <c r="B101" s="32">
        <v>660</v>
      </c>
      <c r="C101" s="39" t="s">
        <v>126</v>
      </c>
      <c r="D101" s="34"/>
      <c r="E101" s="34"/>
      <c r="F101" s="49"/>
      <c r="G101" s="121"/>
    </row>
    <row r="102" spans="1:7" ht="38.25">
      <c r="A102" s="31"/>
      <c r="B102" s="32"/>
      <c r="C102" s="38" t="s">
        <v>337</v>
      </c>
      <c r="D102" s="34"/>
      <c r="E102" s="34"/>
      <c r="F102" s="49"/>
      <c r="G102" s="121"/>
    </row>
    <row r="103" spans="1:7" ht="25.5">
      <c r="A103" s="31"/>
      <c r="B103" s="43"/>
      <c r="C103" s="38" t="s">
        <v>128</v>
      </c>
      <c r="D103" s="34" t="s">
        <v>125</v>
      </c>
      <c r="E103" s="35">
        <v>2</v>
      </c>
      <c r="F103" s="36"/>
      <c r="G103" s="37"/>
    </row>
    <row r="104" spans="1:7" ht="25.5">
      <c r="A104" s="31">
        <v>22</v>
      </c>
      <c r="B104" s="32">
        <v>670</v>
      </c>
      <c r="C104" s="39" t="s">
        <v>129</v>
      </c>
      <c r="D104" s="135"/>
      <c r="E104" s="34"/>
      <c r="F104" s="49"/>
      <c r="G104" s="121"/>
    </row>
    <row r="105" spans="1:7">
      <c r="A105" s="31"/>
      <c r="B105" s="49" t="s">
        <v>130</v>
      </c>
      <c r="C105" s="360" t="s">
        <v>464</v>
      </c>
      <c r="D105" s="361"/>
      <c r="E105" s="357"/>
      <c r="F105" s="357"/>
      <c r="G105" s="121"/>
    </row>
    <row r="106" spans="1:7">
      <c r="A106" s="31"/>
      <c r="B106" s="49"/>
      <c r="C106" s="229" t="s">
        <v>465</v>
      </c>
      <c r="D106" s="135" t="s">
        <v>28</v>
      </c>
      <c r="E106" s="339">
        <v>85.6</v>
      </c>
      <c r="F106" s="339"/>
      <c r="G106" s="121"/>
    </row>
    <row r="107" spans="1:7" ht="38.25">
      <c r="A107" s="31"/>
      <c r="B107" s="49"/>
      <c r="C107" s="38" t="s">
        <v>466</v>
      </c>
      <c r="D107" s="135" t="s">
        <v>28</v>
      </c>
      <c r="E107" s="339">
        <v>85.6</v>
      </c>
      <c r="F107" s="339"/>
      <c r="G107" s="121"/>
    </row>
    <row r="108" spans="1:7" ht="177.75" customHeight="1">
      <c r="A108" s="31"/>
      <c r="B108" s="49" t="s">
        <v>132</v>
      </c>
      <c r="C108" s="345" t="s">
        <v>470</v>
      </c>
      <c r="D108" s="34" t="s">
        <v>28</v>
      </c>
      <c r="E108" s="35">
        <v>12.5</v>
      </c>
      <c r="F108" s="36"/>
      <c r="G108" s="37"/>
    </row>
    <row r="109" spans="1:7" ht="25.5">
      <c r="A109" s="31">
        <v>23</v>
      </c>
      <c r="B109" s="140">
        <v>672</v>
      </c>
      <c r="C109" s="39" t="s">
        <v>133</v>
      </c>
      <c r="D109" s="135"/>
      <c r="E109" s="34"/>
      <c r="F109" s="141"/>
      <c r="G109" s="142"/>
    </row>
    <row r="110" spans="1:7" ht="38.25">
      <c r="A110" s="31"/>
      <c r="B110" s="140"/>
      <c r="C110" s="38" t="s">
        <v>134</v>
      </c>
      <c r="D110" s="135"/>
      <c r="E110" s="34"/>
      <c r="F110" s="141"/>
      <c r="G110" s="142"/>
    </row>
    <row r="111" spans="1:7" ht="30.75" thickBot="1">
      <c r="A111" s="72"/>
      <c r="B111" s="73"/>
      <c r="C111" s="108" t="s">
        <v>135</v>
      </c>
      <c r="D111" s="137" t="s">
        <v>125</v>
      </c>
      <c r="E111" s="76">
        <f>2*43</f>
        <v>86</v>
      </c>
      <c r="F111" s="143"/>
      <c r="G111" s="144"/>
    </row>
    <row r="112" spans="1:7" ht="15.75" thickBot="1">
      <c r="A112" s="79"/>
      <c r="B112" s="113"/>
      <c r="C112" s="232"/>
      <c r="D112" s="138"/>
      <c r="E112" s="138"/>
      <c r="F112" s="84" t="s">
        <v>136</v>
      </c>
      <c r="G112" s="85"/>
    </row>
    <row r="113" spans="1:7" ht="15.75" thickBot="1">
      <c r="A113" s="86"/>
      <c r="B113" s="11"/>
      <c r="C113" s="220"/>
      <c r="D113" s="139"/>
      <c r="E113" s="139"/>
      <c r="F113" s="90"/>
      <c r="G113" s="90"/>
    </row>
    <row r="114" spans="1:7" ht="15.75" thickBot="1">
      <c r="A114" s="79"/>
      <c r="B114" s="91" t="s">
        <v>137</v>
      </c>
      <c r="C114" s="181" t="s">
        <v>338</v>
      </c>
      <c r="D114" s="82"/>
      <c r="E114" s="82"/>
      <c r="F114" s="113"/>
      <c r="G114" s="116"/>
    </row>
    <row r="115" spans="1:7" ht="51">
      <c r="A115" s="95">
        <v>24</v>
      </c>
      <c r="B115" s="234">
        <v>725</v>
      </c>
      <c r="C115" s="131" t="s">
        <v>339</v>
      </c>
      <c r="D115" s="132"/>
      <c r="E115" s="99"/>
      <c r="F115" s="183"/>
      <c r="G115" s="101"/>
    </row>
    <row r="116" spans="1:7" ht="25.5">
      <c r="A116" s="31"/>
      <c r="B116" s="49"/>
      <c r="C116" s="38" t="s">
        <v>340</v>
      </c>
      <c r="D116" s="34"/>
      <c r="E116" s="35"/>
      <c r="F116" s="49"/>
      <c r="G116" s="37"/>
    </row>
    <row r="117" spans="1:7">
      <c r="A117" s="31"/>
      <c r="B117" s="49"/>
      <c r="C117" s="38" t="s">
        <v>416</v>
      </c>
      <c r="D117" s="34" t="s">
        <v>22</v>
      </c>
      <c r="E117" s="35">
        <f>76.2*4.05</f>
        <v>308.61</v>
      </c>
      <c r="F117" s="36"/>
      <c r="G117" s="37"/>
    </row>
    <row r="118" spans="1:7" ht="25.5">
      <c r="A118" s="31">
        <v>25</v>
      </c>
      <c r="B118" s="145">
        <v>730</v>
      </c>
      <c r="C118" s="39" t="s">
        <v>341</v>
      </c>
      <c r="D118" s="34"/>
      <c r="E118" s="35"/>
      <c r="F118" s="36"/>
      <c r="G118" s="37"/>
    </row>
    <row r="119" spans="1:7">
      <c r="A119" s="31"/>
      <c r="B119" s="32"/>
      <c r="C119" s="38" t="s">
        <v>342</v>
      </c>
      <c r="D119" s="34"/>
      <c r="E119" s="35"/>
      <c r="F119" s="36"/>
      <c r="G119" s="37"/>
    </row>
    <row r="120" spans="1:7">
      <c r="A120" s="31"/>
      <c r="B120" s="49"/>
      <c r="C120" s="38" t="s">
        <v>417</v>
      </c>
      <c r="D120" s="34"/>
      <c r="E120" s="35"/>
      <c r="F120" s="36"/>
      <c r="G120" s="37"/>
    </row>
    <row r="121" spans="1:7" ht="25.5">
      <c r="A121" s="31"/>
      <c r="B121" s="49"/>
      <c r="C121" s="38" t="s">
        <v>343</v>
      </c>
      <c r="D121" s="34" t="s">
        <v>22</v>
      </c>
      <c r="E121" s="35">
        <f>76.2*3.75</f>
        <v>285.75</v>
      </c>
      <c r="F121" s="36"/>
      <c r="G121" s="37"/>
    </row>
    <row r="122" spans="1:7">
      <c r="A122" s="31">
        <v>26</v>
      </c>
      <c r="B122" s="32">
        <v>740</v>
      </c>
      <c r="C122" s="39" t="s">
        <v>344</v>
      </c>
      <c r="D122" s="34"/>
      <c r="E122" s="35"/>
      <c r="F122" s="36"/>
      <c r="G122" s="37"/>
    </row>
    <row r="123" spans="1:7" ht="38.25">
      <c r="A123" s="31"/>
      <c r="B123" s="49"/>
      <c r="C123" s="38" t="s">
        <v>345</v>
      </c>
      <c r="D123" s="34" t="s">
        <v>22</v>
      </c>
      <c r="E123" s="35"/>
      <c r="F123" s="36"/>
      <c r="G123" s="37"/>
    </row>
    <row r="124" spans="1:7" ht="25.5">
      <c r="A124" s="31"/>
      <c r="B124" s="49"/>
      <c r="C124" s="38" t="s">
        <v>343</v>
      </c>
      <c r="D124" s="34" t="s">
        <v>22</v>
      </c>
      <c r="E124" s="35">
        <v>615</v>
      </c>
      <c r="F124" s="36"/>
      <c r="G124" s="37"/>
    </row>
    <row r="125" spans="1:7" ht="38.25">
      <c r="A125" s="31">
        <v>27</v>
      </c>
      <c r="B125" s="32">
        <v>780</v>
      </c>
      <c r="C125" s="39" t="s">
        <v>346</v>
      </c>
      <c r="D125" s="135"/>
      <c r="E125" s="35"/>
      <c r="F125" s="36"/>
      <c r="G125" s="37"/>
    </row>
    <row r="126" spans="1:7">
      <c r="A126" s="31"/>
      <c r="B126" s="32"/>
      <c r="C126" s="38" t="s">
        <v>347</v>
      </c>
      <c r="D126" s="34"/>
      <c r="E126" s="34"/>
      <c r="F126" s="49"/>
      <c r="G126" s="37"/>
    </row>
    <row r="127" spans="1:7" ht="25.5">
      <c r="A127" s="31"/>
      <c r="B127" s="32"/>
      <c r="C127" s="38" t="s">
        <v>348</v>
      </c>
      <c r="D127" s="34" t="s">
        <v>28</v>
      </c>
      <c r="E127" s="35">
        <f>2*4.3</f>
        <v>8.6</v>
      </c>
      <c r="F127" s="36"/>
      <c r="G127" s="37"/>
    </row>
    <row r="128" spans="1:7" ht="25.5">
      <c r="A128" s="31">
        <v>28</v>
      </c>
      <c r="B128" s="32">
        <v>785</v>
      </c>
      <c r="C128" s="39" t="s">
        <v>349</v>
      </c>
      <c r="D128" s="34"/>
      <c r="E128" s="34"/>
      <c r="F128" s="49"/>
      <c r="G128" s="121"/>
    </row>
    <row r="129" spans="1:7" ht="25.5">
      <c r="A129" s="31"/>
      <c r="B129" s="49"/>
      <c r="C129" s="38" t="s">
        <v>350</v>
      </c>
      <c r="D129" s="34"/>
      <c r="E129" s="34"/>
      <c r="F129" s="49"/>
      <c r="G129" s="121"/>
    </row>
    <row r="130" spans="1:7" ht="26.25" thickBot="1">
      <c r="A130" s="72"/>
      <c r="B130" s="73"/>
      <c r="C130" s="74" t="s">
        <v>109</v>
      </c>
      <c r="D130" s="137" t="s">
        <v>31</v>
      </c>
      <c r="E130" s="76">
        <f>0.1*4.3</f>
        <v>0.43</v>
      </c>
      <c r="F130" s="77"/>
      <c r="G130" s="78"/>
    </row>
    <row r="131" spans="1:7" ht="15.75" thickBot="1">
      <c r="A131" s="79"/>
      <c r="B131" s="113"/>
      <c r="C131" s="232"/>
      <c r="D131" s="149"/>
      <c r="E131" s="82"/>
      <c r="F131" s="84" t="s">
        <v>158</v>
      </c>
      <c r="G131" s="85"/>
    </row>
    <row r="132" spans="1:7" ht="15.75" thickBot="1">
      <c r="A132" s="86"/>
      <c r="B132" s="11"/>
      <c r="C132" s="220"/>
      <c r="D132" s="86"/>
      <c r="E132" s="9"/>
      <c r="F132" s="90"/>
      <c r="G132" s="90"/>
    </row>
    <row r="133" spans="1:7" ht="15.75" thickBot="1">
      <c r="A133" s="79"/>
      <c r="B133" s="91" t="s">
        <v>159</v>
      </c>
      <c r="C133" s="181" t="s">
        <v>160</v>
      </c>
      <c r="D133" s="82"/>
      <c r="E133" s="82"/>
      <c r="F133" s="113"/>
      <c r="G133" s="116"/>
    </row>
    <row r="134" spans="1:7" ht="38.25">
      <c r="A134" s="95">
        <v>29</v>
      </c>
      <c r="B134" s="96">
        <v>801</v>
      </c>
      <c r="C134" s="131" t="s">
        <v>351</v>
      </c>
      <c r="D134" s="132"/>
      <c r="E134" s="99"/>
      <c r="F134" s="133"/>
      <c r="G134" s="134"/>
    </row>
    <row r="135" spans="1:7" ht="51">
      <c r="A135" s="31"/>
      <c r="B135" s="71"/>
      <c r="C135" s="38" t="s">
        <v>352</v>
      </c>
      <c r="D135" s="135"/>
      <c r="E135" s="147"/>
      <c r="F135" s="150"/>
      <c r="G135" s="121"/>
    </row>
    <row r="136" spans="1:7" ht="25.5">
      <c r="A136" s="31"/>
      <c r="B136" s="49"/>
      <c r="C136" s="38" t="s">
        <v>353</v>
      </c>
      <c r="D136" s="135" t="s">
        <v>125</v>
      </c>
      <c r="E136" s="35">
        <v>24</v>
      </c>
      <c r="F136" s="36"/>
      <c r="G136" s="37"/>
    </row>
    <row r="137" spans="1:7" ht="51">
      <c r="A137" s="31">
        <v>30</v>
      </c>
      <c r="B137" s="32">
        <v>850</v>
      </c>
      <c r="C137" s="235" t="s">
        <v>172</v>
      </c>
      <c r="D137" s="34"/>
      <c r="E137" s="35"/>
      <c r="F137" s="36"/>
      <c r="G137" s="37"/>
    </row>
    <row r="138" spans="1:7" ht="216.75">
      <c r="A138" s="31"/>
      <c r="B138" s="32"/>
      <c r="C138" s="60" t="s">
        <v>354</v>
      </c>
      <c r="D138" s="34"/>
      <c r="E138" s="35"/>
      <c r="F138" s="36"/>
      <c r="G138" s="37"/>
    </row>
    <row r="139" spans="1:7">
      <c r="A139" s="31"/>
      <c r="B139" s="32"/>
      <c r="C139" s="38" t="s">
        <v>418</v>
      </c>
      <c r="D139" s="34"/>
      <c r="E139" s="35"/>
      <c r="F139" s="36"/>
      <c r="G139" s="37"/>
    </row>
    <row r="140" spans="1:7">
      <c r="A140" s="42"/>
      <c r="B140" s="49"/>
      <c r="C140" s="229" t="s">
        <v>174</v>
      </c>
      <c r="D140" s="34" t="s">
        <v>22</v>
      </c>
      <c r="E140" s="35">
        <f>1+0.5+0.5+0.5+0.5+1</f>
        <v>4</v>
      </c>
      <c r="F140" s="36"/>
      <c r="G140" s="37"/>
    </row>
    <row r="141" spans="1:7" ht="38.25">
      <c r="A141" s="31">
        <v>31</v>
      </c>
      <c r="B141" s="32">
        <v>854</v>
      </c>
      <c r="C141" s="235" t="s">
        <v>183</v>
      </c>
      <c r="D141" s="34"/>
      <c r="E141" s="35"/>
      <c r="F141" s="36"/>
      <c r="G141" s="37"/>
    </row>
    <row r="142" spans="1:7" ht="154.5">
      <c r="A142" s="31"/>
      <c r="B142" s="32"/>
      <c r="C142" s="60" t="s">
        <v>355</v>
      </c>
      <c r="D142" s="34"/>
      <c r="E142" s="35"/>
      <c r="F142" s="36"/>
      <c r="G142" s="37"/>
    </row>
    <row r="143" spans="1:7">
      <c r="A143" s="31"/>
      <c r="B143" s="32"/>
      <c r="C143" s="60" t="s">
        <v>45</v>
      </c>
      <c r="D143" s="34"/>
      <c r="E143" s="35"/>
      <c r="F143" s="36"/>
      <c r="G143" s="37"/>
    </row>
    <row r="144" spans="1:7" ht="25.5">
      <c r="A144" s="31"/>
      <c r="B144" s="32"/>
      <c r="C144" s="38" t="s">
        <v>419</v>
      </c>
      <c r="D144" s="34"/>
      <c r="E144" s="35"/>
      <c r="F144" s="36"/>
      <c r="G144" s="37"/>
    </row>
    <row r="145" spans="1:7">
      <c r="A145" s="42"/>
      <c r="B145" s="49"/>
      <c r="C145" s="229" t="s">
        <v>178</v>
      </c>
      <c r="D145" s="34" t="s">
        <v>22</v>
      </c>
      <c r="E145" s="35">
        <f>(1.4*2+0.8*2)*7.55*2+(0.6*0.3+0.6*1)*2*2</f>
        <v>69.56</v>
      </c>
      <c r="F145" s="36"/>
      <c r="G145" s="37"/>
    </row>
    <row r="146" spans="1:7" ht="25.5">
      <c r="A146" s="31">
        <v>32</v>
      </c>
      <c r="B146" s="32">
        <v>855</v>
      </c>
      <c r="C146" s="235" t="s">
        <v>184</v>
      </c>
      <c r="D146" s="34"/>
      <c r="E146" s="35"/>
      <c r="F146" s="36"/>
      <c r="G146" s="37"/>
    </row>
    <row r="147" spans="1:7" ht="140.25">
      <c r="A147" s="31"/>
      <c r="B147" s="32"/>
      <c r="C147" s="60" t="s">
        <v>185</v>
      </c>
      <c r="D147" s="34"/>
      <c r="E147" s="35"/>
      <c r="F147" s="36"/>
      <c r="G147" s="37"/>
    </row>
    <row r="148" spans="1:7">
      <c r="A148" s="31"/>
      <c r="B148" s="32"/>
      <c r="C148" s="60" t="s">
        <v>42</v>
      </c>
      <c r="D148" s="34"/>
      <c r="E148" s="35"/>
      <c r="F148" s="36"/>
      <c r="G148" s="37"/>
    </row>
    <row r="149" spans="1:7">
      <c r="A149" s="31"/>
      <c r="B149" s="32"/>
      <c r="C149" s="38" t="s">
        <v>420</v>
      </c>
      <c r="D149" s="34" t="s">
        <v>22</v>
      </c>
      <c r="E149" s="35">
        <f>4.3*6+4.3*5</f>
        <v>47.3</v>
      </c>
      <c r="F149" s="36"/>
      <c r="G149" s="37"/>
    </row>
    <row r="150" spans="1:7" ht="25.5">
      <c r="A150" s="31"/>
      <c r="B150" s="32"/>
      <c r="C150" s="60" t="s">
        <v>321</v>
      </c>
      <c r="D150" s="34"/>
      <c r="E150" s="35"/>
      <c r="F150" s="36"/>
      <c r="G150" s="37"/>
    </row>
    <row r="151" spans="1:7" ht="25.5">
      <c r="A151" s="31"/>
      <c r="B151" s="32"/>
      <c r="C151" s="38" t="s">
        <v>412</v>
      </c>
      <c r="D151" s="34" t="s">
        <v>22</v>
      </c>
      <c r="E151" s="35">
        <f>(1.4*2+0.8*2)*7.55*2+(1.21*2+4.18*0.8)*2</f>
        <v>77.967999999999989</v>
      </c>
      <c r="F151" s="36"/>
      <c r="G151" s="37"/>
    </row>
    <row r="152" spans="1:7" ht="25.5">
      <c r="A152" s="31">
        <v>33</v>
      </c>
      <c r="B152" s="32">
        <v>855</v>
      </c>
      <c r="C152" s="235" t="s">
        <v>191</v>
      </c>
      <c r="D152" s="34"/>
      <c r="E152" s="35"/>
      <c r="F152" s="36"/>
      <c r="G152" s="37"/>
    </row>
    <row r="153" spans="1:7" ht="116.25">
      <c r="A153" s="31"/>
      <c r="B153" s="32"/>
      <c r="C153" s="60" t="s">
        <v>356</v>
      </c>
      <c r="D153" s="34"/>
      <c r="E153" s="35"/>
      <c r="F153" s="36"/>
      <c r="G153" s="37"/>
    </row>
    <row r="154" spans="1:7">
      <c r="A154" s="31"/>
      <c r="B154" s="32"/>
      <c r="C154" s="60" t="s">
        <v>45</v>
      </c>
      <c r="D154" s="34"/>
      <c r="E154" s="35"/>
      <c r="F154" s="36"/>
      <c r="G154" s="37"/>
    </row>
    <row r="155" spans="1:7">
      <c r="A155" s="31"/>
      <c r="B155" s="32"/>
      <c r="C155" s="38" t="s">
        <v>421</v>
      </c>
      <c r="D155" s="34" t="s">
        <v>22</v>
      </c>
      <c r="E155" s="35">
        <f>(0.2+0.4)*3+0.2*0.2</f>
        <v>1.8400000000000003</v>
      </c>
      <c r="F155" s="36"/>
      <c r="G155" s="37"/>
    </row>
    <row r="156" spans="1:7" ht="25.5">
      <c r="A156" s="31"/>
      <c r="B156" s="32"/>
      <c r="C156" s="60" t="s">
        <v>357</v>
      </c>
      <c r="D156" s="34"/>
      <c r="E156" s="35"/>
      <c r="F156" s="36"/>
      <c r="G156" s="37"/>
    </row>
    <row r="157" spans="1:7">
      <c r="A157" s="31"/>
      <c r="B157" s="32"/>
      <c r="C157" s="38" t="s">
        <v>422</v>
      </c>
      <c r="D157" s="34" t="s">
        <v>22</v>
      </c>
      <c r="E157" s="35">
        <f>((0.29+0.58)*0.8*2)*2</f>
        <v>2.7839999999999998</v>
      </c>
      <c r="F157" s="36"/>
      <c r="G157" s="37"/>
    </row>
    <row r="158" spans="1:7" ht="38.25">
      <c r="A158" s="31">
        <v>34</v>
      </c>
      <c r="B158" s="32">
        <v>859</v>
      </c>
      <c r="C158" s="235" t="s">
        <v>358</v>
      </c>
      <c r="D158" s="34"/>
      <c r="E158" s="35"/>
      <c r="F158" s="36"/>
      <c r="G158" s="37"/>
    </row>
    <row r="159" spans="1:7" ht="191.25">
      <c r="A159" s="31"/>
      <c r="B159" s="32"/>
      <c r="C159" s="60" t="s">
        <v>359</v>
      </c>
      <c r="D159" s="34"/>
      <c r="E159" s="35"/>
      <c r="F159" s="36"/>
      <c r="G159" s="37"/>
    </row>
    <row r="160" spans="1:7">
      <c r="A160" s="31"/>
      <c r="B160" s="32"/>
      <c r="C160" s="60" t="s">
        <v>317</v>
      </c>
      <c r="D160" s="34"/>
      <c r="E160" s="35"/>
      <c r="F160" s="36"/>
      <c r="G160" s="37"/>
    </row>
    <row r="161" spans="1:7">
      <c r="A161" s="31"/>
      <c r="B161" s="32"/>
      <c r="C161" s="38" t="s">
        <v>409</v>
      </c>
      <c r="D161" s="34" t="s">
        <v>31</v>
      </c>
      <c r="E161" s="35">
        <f>0.2*0.4*3</f>
        <v>0.24000000000000005</v>
      </c>
      <c r="F161" s="36"/>
      <c r="G161" s="37"/>
    </row>
    <row r="162" spans="1:7" ht="25.5">
      <c r="A162" s="31"/>
      <c r="B162" s="32"/>
      <c r="C162" s="60" t="s">
        <v>357</v>
      </c>
      <c r="D162" s="34"/>
      <c r="E162" s="35"/>
      <c r="F162" s="36"/>
      <c r="G162" s="37"/>
    </row>
    <row r="163" spans="1:7" ht="25.5">
      <c r="A163" s="31"/>
      <c r="B163" s="32"/>
      <c r="C163" s="38" t="s">
        <v>423</v>
      </c>
      <c r="D163" s="34" t="s">
        <v>31</v>
      </c>
      <c r="E163" s="35">
        <f>(0.372*0.8+2*1.71*0.03+4*1.81*0.06*0.01)*2</f>
        <v>0.80908800000000003</v>
      </c>
      <c r="F163" s="36"/>
      <c r="G163" s="37"/>
    </row>
    <row r="164" spans="1:7" ht="63.75">
      <c r="A164" s="42">
        <v>35</v>
      </c>
      <c r="B164" s="32">
        <v>880</v>
      </c>
      <c r="C164" s="39" t="s">
        <v>212</v>
      </c>
      <c r="D164" s="34"/>
      <c r="E164" s="35"/>
      <c r="F164" s="36"/>
      <c r="G164" s="37"/>
    </row>
    <row r="165" spans="1:7" ht="38.25">
      <c r="A165" s="42"/>
      <c r="B165" s="32"/>
      <c r="C165" s="38" t="s">
        <v>360</v>
      </c>
      <c r="D165" s="34"/>
      <c r="E165" s="35"/>
      <c r="F165" s="36"/>
      <c r="G165" s="37"/>
    </row>
    <row r="166" spans="1:7" ht="51">
      <c r="A166" s="42"/>
      <c r="B166" s="32"/>
      <c r="C166" s="38" t="s">
        <v>361</v>
      </c>
      <c r="D166" s="34"/>
      <c r="E166" s="35"/>
      <c r="F166" s="36"/>
      <c r="G166" s="37"/>
    </row>
    <row r="167" spans="1:7">
      <c r="A167" s="42"/>
      <c r="B167" s="32"/>
      <c r="C167" s="38"/>
      <c r="D167" s="34"/>
      <c r="E167" s="35"/>
      <c r="F167" s="36"/>
      <c r="G167" s="37"/>
    </row>
    <row r="168" spans="1:7">
      <c r="A168" s="42"/>
      <c r="B168" s="49"/>
      <c r="C168" s="38" t="s">
        <v>215</v>
      </c>
      <c r="D168" s="34" t="s">
        <v>362</v>
      </c>
      <c r="E168" s="35">
        <v>3</v>
      </c>
      <c r="F168" s="36"/>
      <c r="G168" s="37"/>
    </row>
    <row r="169" spans="1:7">
      <c r="A169" s="31">
        <v>36</v>
      </c>
      <c r="B169" s="32">
        <v>890</v>
      </c>
      <c r="C169" s="39" t="s">
        <v>217</v>
      </c>
      <c r="D169" s="34"/>
      <c r="E169" s="35"/>
      <c r="F169" s="36"/>
      <c r="G169" s="37"/>
    </row>
    <row r="170" spans="1:7" ht="38.25">
      <c r="A170" s="31"/>
      <c r="B170" s="32"/>
      <c r="C170" s="38" t="s">
        <v>363</v>
      </c>
      <c r="D170" s="34"/>
      <c r="E170" s="35"/>
      <c r="F170" s="36"/>
      <c r="G170" s="37"/>
    </row>
    <row r="171" spans="1:7">
      <c r="A171" s="42"/>
      <c r="B171" s="49"/>
      <c r="C171" s="229" t="s">
        <v>219</v>
      </c>
      <c r="D171" s="34" t="s">
        <v>22</v>
      </c>
      <c r="E171" s="35">
        <v>50</v>
      </c>
      <c r="F171" s="36"/>
      <c r="G171" s="37"/>
    </row>
    <row r="172" spans="1:7" ht="25.5">
      <c r="A172" s="31">
        <v>37</v>
      </c>
      <c r="B172" s="32">
        <v>891</v>
      </c>
      <c r="C172" s="39" t="s">
        <v>220</v>
      </c>
      <c r="D172" s="34"/>
      <c r="E172" s="35"/>
      <c r="F172" s="36"/>
      <c r="G172" s="37"/>
    </row>
    <row r="173" spans="1:7">
      <c r="A173" s="31"/>
      <c r="B173" s="49"/>
      <c r="C173" s="38" t="s">
        <v>221</v>
      </c>
      <c r="D173" s="34" t="s">
        <v>15</v>
      </c>
      <c r="E173" s="35"/>
      <c r="F173" s="36"/>
      <c r="G173" s="37"/>
    </row>
    <row r="174" spans="1:7">
      <c r="A174" s="31">
        <v>38</v>
      </c>
      <c r="B174" s="32">
        <v>893</v>
      </c>
      <c r="C174" s="39" t="s">
        <v>222</v>
      </c>
      <c r="D174" s="34"/>
      <c r="E174" s="35"/>
      <c r="F174" s="36"/>
      <c r="G174" s="37"/>
    </row>
    <row r="175" spans="1:7" ht="15.75" thickBot="1">
      <c r="A175" s="31"/>
      <c r="B175" s="49"/>
      <c r="C175" s="38" t="s">
        <v>221</v>
      </c>
      <c r="D175" s="34" t="s">
        <v>15</v>
      </c>
      <c r="E175" s="35"/>
      <c r="F175" s="36"/>
      <c r="G175" s="37"/>
    </row>
    <row r="176" spans="1:7" ht="15.75" thickBot="1">
      <c r="A176" s="236"/>
      <c r="B176" s="113"/>
      <c r="C176" s="232"/>
      <c r="D176" s="138"/>
      <c r="E176" s="138"/>
      <c r="F176" s="237" t="s">
        <v>223</v>
      </c>
      <c r="G176" s="208"/>
    </row>
    <row r="177" spans="1:7" ht="15.75" thickBot="1">
      <c r="A177" s="9"/>
      <c r="B177" s="11"/>
      <c r="C177" s="220"/>
      <c r="D177" s="139"/>
      <c r="E177" s="139"/>
      <c r="F177" s="90"/>
      <c r="G177" s="90"/>
    </row>
    <row r="178" spans="1:7" ht="15.75" thickBot="1">
      <c r="A178" s="238"/>
      <c r="B178" s="239"/>
      <c r="C178" s="358" t="s">
        <v>224</v>
      </c>
      <c r="D178" s="358"/>
      <c r="E178" s="358"/>
      <c r="F178" s="358"/>
      <c r="G178" s="359"/>
    </row>
  </sheetData>
  <mergeCells count="7">
    <mergeCell ref="A1:G1"/>
    <mergeCell ref="A2:G2"/>
    <mergeCell ref="D78:G78"/>
    <mergeCell ref="E105:F105"/>
    <mergeCell ref="C178:E178"/>
    <mergeCell ref="F178:G178"/>
    <mergeCell ref="C105:D10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A19" sqref="A19:F19"/>
    </sheetView>
  </sheetViews>
  <sheetFormatPr defaultRowHeight="15"/>
  <cols>
    <col min="1" max="1" width="24" customWidth="1"/>
    <col min="3" max="3" width="27" customWidth="1"/>
    <col min="6" max="6" width="14.7109375" customWidth="1"/>
    <col min="7" max="7" width="29.7109375" customWidth="1"/>
  </cols>
  <sheetData>
    <row r="1" spans="1:7">
      <c r="A1" s="240"/>
      <c r="B1" s="241"/>
      <c r="C1" s="242"/>
      <c r="D1" s="243"/>
      <c r="E1" s="244"/>
      <c r="F1" s="245"/>
      <c r="G1" s="245"/>
    </row>
    <row r="2" spans="1:7" ht="15.75">
      <c r="A2" s="367" t="s">
        <v>364</v>
      </c>
      <c r="B2" s="367"/>
      <c r="C2" s="367"/>
      <c r="D2" s="367"/>
      <c r="E2" s="367"/>
      <c r="F2" s="367"/>
      <c r="G2" s="367"/>
    </row>
    <row r="3" spans="1:7" ht="16.5" thickBot="1">
      <c r="A3" s="246"/>
      <c r="B3" s="247"/>
      <c r="C3" s="246"/>
      <c r="D3" s="248"/>
      <c r="E3" s="249"/>
      <c r="F3" s="245"/>
      <c r="G3" s="245"/>
    </row>
    <row r="4" spans="1:7" ht="26.25" thickBot="1">
      <c r="A4" s="176" t="s">
        <v>2</v>
      </c>
      <c r="B4" s="177" t="s">
        <v>3</v>
      </c>
      <c r="C4" s="178" t="s">
        <v>4</v>
      </c>
      <c r="D4" s="177" t="s">
        <v>5</v>
      </c>
      <c r="E4" s="177" t="s">
        <v>6</v>
      </c>
      <c r="F4" s="179" t="s">
        <v>7</v>
      </c>
      <c r="G4" s="180" t="s">
        <v>365</v>
      </c>
    </row>
    <row r="5" spans="1:7" ht="15.75" thickBot="1">
      <c r="A5" s="368" t="s">
        <v>366</v>
      </c>
      <c r="B5" s="369"/>
      <c r="C5" s="369"/>
      <c r="D5" s="370"/>
      <c r="E5" s="370"/>
      <c r="F5" s="370"/>
      <c r="G5" s="371"/>
    </row>
    <row r="6" spans="1:7" ht="76.5">
      <c r="A6" s="250">
        <v>1</v>
      </c>
      <c r="B6" s="251" t="s">
        <v>367</v>
      </c>
      <c r="C6" s="252" t="s">
        <v>368</v>
      </c>
      <c r="D6" s="253" t="s">
        <v>22</v>
      </c>
      <c r="E6" s="254">
        <v>207</v>
      </c>
      <c r="F6" s="255"/>
      <c r="G6" s="256"/>
    </row>
    <row r="7" spans="1:7" ht="26.25" thickBot="1">
      <c r="A7" s="257">
        <v>2</v>
      </c>
      <c r="B7" s="258" t="s">
        <v>369</v>
      </c>
      <c r="C7" s="259" t="s">
        <v>370</v>
      </c>
      <c r="D7" s="260" t="s">
        <v>371</v>
      </c>
      <c r="E7" s="261">
        <v>46</v>
      </c>
      <c r="F7" s="262"/>
      <c r="G7" s="263"/>
    </row>
    <row r="8" spans="1:7" ht="15.75" thickBot="1">
      <c r="A8" s="362" t="s">
        <v>372</v>
      </c>
      <c r="B8" s="363"/>
      <c r="C8" s="363"/>
      <c r="D8" s="363"/>
      <c r="E8" s="363"/>
      <c r="F8" s="363"/>
      <c r="G8" s="264"/>
    </row>
    <row r="9" spans="1:7" ht="15.75" thickBot="1">
      <c r="A9" s="265"/>
      <c r="B9" s="265"/>
      <c r="C9" s="266"/>
      <c r="D9" s="267"/>
      <c r="E9" s="267"/>
      <c r="F9" s="265"/>
      <c r="G9" s="268"/>
    </row>
    <row r="10" spans="1:7" ht="15.75" thickBot="1">
      <c r="A10" s="368" t="s">
        <v>373</v>
      </c>
      <c r="B10" s="369"/>
      <c r="C10" s="369"/>
      <c r="D10" s="372"/>
      <c r="E10" s="372"/>
      <c r="F10" s="372"/>
      <c r="G10" s="373"/>
    </row>
    <row r="11" spans="1:7" ht="51">
      <c r="A11" s="269">
        <v>3</v>
      </c>
      <c r="B11" s="270" t="s">
        <v>374</v>
      </c>
      <c r="C11" s="347" t="s">
        <v>375</v>
      </c>
      <c r="D11" s="271" t="s">
        <v>31</v>
      </c>
      <c r="E11" s="272">
        <v>7</v>
      </c>
      <c r="F11" s="273"/>
      <c r="G11" s="274"/>
    </row>
    <row r="12" spans="1:7" ht="51">
      <c r="A12" s="275">
        <v>4</v>
      </c>
      <c r="B12" s="276" t="s">
        <v>376</v>
      </c>
      <c r="C12" s="348" t="s">
        <v>377</v>
      </c>
      <c r="D12" s="277" t="s">
        <v>31</v>
      </c>
      <c r="E12" s="278">
        <v>8.25</v>
      </c>
      <c r="F12" s="279"/>
      <c r="G12" s="280"/>
    </row>
    <row r="13" spans="1:7" ht="51">
      <c r="A13" s="275">
        <v>5</v>
      </c>
      <c r="B13" s="276" t="s">
        <v>378</v>
      </c>
      <c r="C13" s="281" t="s">
        <v>379</v>
      </c>
      <c r="D13" s="282" t="s">
        <v>31</v>
      </c>
      <c r="E13" s="278">
        <v>12.42</v>
      </c>
      <c r="F13" s="279"/>
      <c r="G13" s="280"/>
    </row>
    <row r="14" spans="1:7" ht="51.75" thickBot="1">
      <c r="A14" s="283">
        <v>6</v>
      </c>
      <c r="B14" s="284" t="s">
        <v>380</v>
      </c>
      <c r="C14" s="285" t="s">
        <v>381</v>
      </c>
      <c r="D14" s="286" t="s">
        <v>31</v>
      </c>
      <c r="E14" s="287">
        <v>8.5</v>
      </c>
      <c r="F14" s="288"/>
      <c r="G14" s="289"/>
    </row>
    <row r="15" spans="1:7" ht="15.75" thickBot="1">
      <c r="A15" s="362" t="s">
        <v>382</v>
      </c>
      <c r="B15" s="363"/>
      <c r="C15" s="363"/>
      <c r="D15" s="363"/>
      <c r="E15" s="363"/>
      <c r="F15" s="363"/>
      <c r="G15" s="264"/>
    </row>
    <row r="16" spans="1:7" ht="15.75" thickBot="1">
      <c r="A16" s="290"/>
      <c r="B16" s="291"/>
      <c r="C16" s="292"/>
      <c r="D16" s="293"/>
      <c r="E16" s="294"/>
      <c r="F16" s="295"/>
      <c r="G16" s="295"/>
    </row>
    <row r="17" spans="1:7" ht="16.5" thickBot="1">
      <c r="A17" s="364" t="s">
        <v>383</v>
      </c>
      <c r="B17" s="365"/>
      <c r="C17" s="365"/>
      <c r="D17" s="365"/>
      <c r="E17" s="365"/>
      <c r="F17" s="365"/>
      <c r="G17" s="296"/>
    </row>
    <row r="18" spans="1:7">
      <c r="A18" s="240"/>
      <c r="B18" s="241"/>
      <c r="C18" s="242"/>
      <c r="D18" s="243"/>
      <c r="E18" s="244"/>
      <c r="F18" s="245"/>
      <c r="G18" s="245" t="s">
        <v>228</v>
      </c>
    </row>
    <row r="19" spans="1:7" ht="15.75">
      <c r="A19" s="366" t="s">
        <v>384</v>
      </c>
      <c r="B19" s="366"/>
      <c r="C19" s="366"/>
      <c r="D19" s="366"/>
      <c r="E19" s="366"/>
      <c r="F19" s="366"/>
      <c r="G19" s="297"/>
    </row>
    <row r="20" spans="1:7">
      <c r="A20" s="298"/>
      <c r="B20" s="245"/>
      <c r="C20" s="242"/>
      <c r="D20" s="243"/>
      <c r="E20" s="243"/>
      <c r="F20" s="245"/>
      <c r="G20" s="245"/>
    </row>
  </sheetData>
  <mergeCells count="9">
    <mergeCell ref="A15:F15"/>
    <mergeCell ref="A17:F17"/>
    <mergeCell ref="A19:F19"/>
    <mergeCell ref="A2:G2"/>
    <mergeCell ref="A5:C5"/>
    <mergeCell ref="D5:G5"/>
    <mergeCell ref="A8:F8"/>
    <mergeCell ref="A10:C10"/>
    <mergeCell ref="D10:G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workbookViewId="0">
      <selection activeCell="B13" sqref="B13"/>
    </sheetView>
  </sheetViews>
  <sheetFormatPr defaultRowHeight="15"/>
  <cols>
    <col min="1" max="1" width="82.140625" customWidth="1"/>
    <col min="2" max="2" width="48" customWidth="1"/>
    <col min="3" max="3" width="43" customWidth="1"/>
  </cols>
  <sheetData>
    <row r="2" spans="1:3" ht="15.75">
      <c r="A2" s="374" t="s">
        <v>385</v>
      </c>
      <c r="B2" s="374"/>
      <c r="C2" s="374"/>
    </row>
    <row r="3" spans="1:3" ht="15.75" thickBot="1"/>
    <row r="4" spans="1:3" ht="15.75" thickBot="1">
      <c r="A4" s="299"/>
      <c r="B4" s="300" t="s">
        <v>386</v>
      </c>
      <c r="C4" s="301" t="s">
        <v>387</v>
      </c>
    </row>
    <row r="5" spans="1:3" ht="15.75" thickBot="1">
      <c r="A5" s="302"/>
    </row>
    <row r="6" spans="1:3" ht="16.5" thickBot="1">
      <c r="A6" s="375" t="s">
        <v>388</v>
      </c>
      <c r="B6" s="376"/>
      <c r="C6" s="377"/>
    </row>
    <row r="7" spans="1:3">
      <c r="A7" s="303" t="s">
        <v>9</v>
      </c>
      <c r="B7" s="304" t="s">
        <v>389</v>
      </c>
      <c r="C7" s="305"/>
    </row>
    <row r="8" spans="1:3">
      <c r="A8" s="306" t="s">
        <v>83</v>
      </c>
      <c r="B8" s="307" t="s">
        <v>390</v>
      </c>
      <c r="C8" s="308"/>
    </row>
    <row r="9" spans="1:3">
      <c r="A9" s="306" t="s">
        <v>83</v>
      </c>
      <c r="B9" s="307" t="s">
        <v>391</v>
      </c>
      <c r="C9" s="308"/>
    </row>
    <row r="10" spans="1:3">
      <c r="A10" s="306" t="s">
        <v>100</v>
      </c>
      <c r="B10" s="309" t="s">
        <v>392</v>
      </c>
      <c r="C10" s="308"/>
    </row>
    <row r="11" spans="1:3">
      <c r="A11" s="306" t="s">
        <v>117</v>
      </c>
      <c r="B11" s="309" t="s">
        <v>393</v>
      </c>
      <c r="C11" s="308"/>
    </row>
    <row r="12" spans="1:3">
      <c r="A12" s="306" t="s">
        <v>137</v>
      </c>
      <c r="B12" s="309" t="s">
        <v>138</v>
      </c>
      <c r="C12" s="308"/>
    </row>
    <row r="13" spans="1:3" ht="15.75" thickBot="1">
      <c r="A13" s="310" t="s">
        <v>159</v>
      </c>
      <c r="B13" s="311" t="s">
        <v>394</v>
      </c>
      <c r="C13" s="312"/>
    </row>
    <row r="14" spans="1:3" ht="15.75" thickBot="1">
      <c r="A14" s="313"/>
      <c r="B14" s="314" t="s">
        <v>395</v>
      </c>
      <c r="C14" s="85"/>
    </row>
    <row r="15" spans="1:3" ht="15.75" thickBot="1">
      <c r="A15" s="299"/>
      <c r="B15" s="315"/>
      <c r="C15" s="316"/>
    </row>
    <row r="16" spans="1:3" ht="16.5" thickBot="1">
      <c r="A16" s="375" t="s">
        <v>396</v>
      </c>
      <c r="B16" s="376"/>
      <c r="C16" s="377"/>
    </row>
    <row r="17" spans="1:3">
      <c r="A17" s="303" t="s">
        <v>9</v>
      </c>
      <c r="B17" s="304" t="s">
        <v>389</v>
      </c>
      <c r="C17" s="305"/>
    </row>
    <row r="18" spans="1:3">
      <c r="A18" s="306" t="s">
        <v>83</v>
      </c>
      <c r="B18" s="307" t="s">
        <v>390</v>
      </c>
      <c r="C18" s="308"/>
    </row>
    <row r="19" spans="1:3">
      <c r="A19" s="306" t="s">
        <v>83</v>
      </c>
      <c r="B19" s="307" t="s">
        <v>391</v>
      </c>
      <c r="C19" s="308"/>
    </row>
    <row r="20" spans="1:3">
      <c r="A20" s="306" t="s">
        <v>100</v>
      </c>
      <c r="B20" s="309" t="s">
        <v>392</v>
      </c>
      <c r="C20" s="308"/>
    </row>
    <row r="21" spans="1:3">
      <c r="A21" s="306" t="s">
        <v>117</v>
      </c>
      <c r="B21" s="309" t="s">
        <v>393</v>
      </c>
      <c r="C21" s="308"/>
    </row>
    <row r="22" spans="1:3">
      <c r="A22" s="306" t="s">
        <v>137</v>
      </c>
      <c r="B22" s="309" t="s">
        <v>138</v>
      </c>
      <c r="C22" s="308"/>
    </row>
    <row r="23" spans="1:3" ht="15.75" thickBot="1">
      <c r="A23" s="317" t="s">
        <v>159</v>
      </c>
      <c r="B23" s="318" t="s">
        <v>394</v>
      </c>
      <c r="C23" s="319"/>
    </row>
    <row r="24" spans="1:3" ht="15.75" thickBot="1">
      <c r="A24" s="313"/>
      <c r="B24" s="314" t="s">
        <v>395</v>
      </c>
      <c r="C24" s="320"/>
    </row>
    <row r="25" spans="1:3" ht="15.75" thickBot="1">
      <c r="A25" s="321"/>
      <c r="B25" s="321"/>
      <c r="C25" s="322"/>
    </row>
    <row r="26" spans="1:3" ht="16.5" thickBot="1">
      <c r="A26" s="378" t="s">
        <v>397</v>
      </c>
      <c r="B26" s="379"/>
      <c r="C26" s="380"/>
    </row>
    <row r="27" spans="1:3">
      <c r="A27" s="323" t="s">
        <v>398</v>
      </c>
      <c r="B27" s="304" t="s">
        <v>389</v>
      </c>
      <c r="C27" s="305"/>
    </row>
    <row r="28" spans="1:3" ht="15.75" thickBot="1">
      <c r="A28" s="324" t="s">
        <v>399</v>
      </c>
      <c r="B28" s="325" t="s">
        <v>400</v>
      </c>
      <c r="C28" s="319"/>
    </row>
    <row r="29" spans="1:3" ht="15.75" thickBot="1">
      <c r="A29" s="326"/>
      <c r="B29" s="327" t="s">
        <v>395</v>
      </c>
      <c r="C29" s="328"/>
    </row>
    <row r="30" spans="1:3" ht="15.75" thickBot="1">
      <c r="A30" s="322"/>
      <c r="B30" s="322"/>
      <c r="C30" s="322"/>
    </row>
    <row r="31" spans="1:3" ht="15.75">
      <c r="A31" s="322"/>
      <c r="B31" s="329" t="s">
        <v>401</v>
      </c>
      <c r="C31" s="330"/>
    </row>
    <row r="32" spans="1:3" ht="16.5" thickBot="1">
      <c r="A32" s="322"/>
      <c r="B32" s="331" t="s">
        <v>402</v>
      </c>
      <c r="C32" s="332"/>
    </row>
  </sheetData>
  <mergeCells count="4">
    <mergeCell ref="A2:C2"/>
    <mergeCell ref="A6:C6"/>
    <mergeCell ref="A16:C16"/>
    <mergeCell ref="A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Drumski most</vt:lpstr>
      <vt:lpstr>Pesacki most</vt:lpstr>
      <vt:lpstr>Uklapanje puta</vt:lpstr>
      <vt:lpstr>Rekapitulacija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Spasic</dc:creator>
  <cp:lastModifiedBy>Suzana Spasic</cp:lastModifiedBy>
  <dcterms:created xsi:type="dcterms:W3CDTF">2024-02-19T11:48:13Z</dcterms:created>
  <dcterms:modified xsi:type="dcterms:W3CDTF">2024-03-28T09:42:43Z</dcterms:modified>
</cp:coreProperties>
</file>